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 codeName="ЭтаКнига" autoCompressPictures="0"/>
  <mc:AlternateContent xmlns:mc="http://schemas.openxmlformats.org/markup-compatibility/2006">
    <mc:Choice Requires="x15">
      <x15ac:absPath xmlns:x15ac="http://schemas.microsoft.com/office/spreadsheetml/2010/11/ac" url="/Users/uliamihaleva/Desktop/ДКВ/"/>
    </mc:Choice>
  </mc:AlternateContent>
  <xr:revisionPtr revIDLastSave="0" documentId="13_ncr:1_{F6DCCC11-A068-434A-B9ED-02AFBE57E9C5}" xr6:coauthVersionLast="46" xr6:coauthVersionMax="46" xr10:uidLastSave="{00000000-0000-0000-0000-000000000000}"/>
  <bookViews>
    <workbookView xWindow="2980" yWindow="480" windowWidth="24340" windowHeight="13680" tabRatio="913" activeTab="1" xr2:uid="{00000000-000D-0000-FFFF-FFFF00000000}"/>
  </bookViews>
  <sheets>
    <sheet name="Исходные" sheetId="19" r:id="rId1"/>
    <sheet name="прогнозные показатели" sheetId="3" r:id="rId2"/>
    <sheet name="Устойчивость " sheetId="18" r:id="rId3"/>
    <sheet name="Анализ безубыточности" sheetId="8" r:id="rId4"/>
    <sheet name="Расчет ЗП" sheetId="20" r:id="rId5"/>
    <sheet name="отчет о прибылях и убытках" sheetId="12" r:id="rId6"/>
    <sheet name="ОДД" sheetId="15" r:id="rId7"/>
    <sheet name="Финансовые показатели " sheetId="16" r:id="rId8"/>
    <sheet name="Отчет о движении денежных средс" sheetId="5" r:id="rId9"/>
    <sheet name="Расчет БГ" sheetId="21" r:id="rId10"/>
  </sheets>
  <calcPr calcId="19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5" i="19" l="1"/>
  <c r="B3" i="12"/>
  <c r="B116" i="19"/>
  <c r="B4" i="12"/>
  <c r="B5" i="12"/>
  <c r="B6" i="12"/>
  <c r="B14" i="12"/>
  <c r="B16" i="12"/>
  <c r="C115" i="19"/>
  <c r="C3" i="12"/>
  <c r="C116" i="19"/>
  <c r="C4" i="12"/>
  <c r="C5" i="12"/>
  <c r="C6" i="12"/>
  <c r="C14" i="12"/>
  <c r="C23" i="12"/>
  <c r="C24" i="12"/>
  <c r="C15" i="12"/>
  <c r="C16" i="12"/>
  <c r="D115" i="19"/>
  <c r="D3" i="12"/>
  <c r="D116" i="19"/>
  <c r="D4" i="12"/>
  <c r="D5" i="12"/>
  <c r="D6" i="12"/>
  <c r="D14" i="12"/>
  <c r="D23" i="12"/>
  <c r="D24" i="12"/>
  <c r="D15" i="12"/>
  <c r="D16" i="12"/>
  <c r="E115" i="19"/>
  <c r="E3" i="12"/>
  <c r="E116" i="19"/>
  <c r="E4" i="12"/>
  <c r="E5" i="12"/>
  <c r="E6" i="12"/>
  <c r="E14" i="12"/>
  <c r="E23" i="12"/>
  <c r="E24" i="12"/>
  <c r="E15" i="12"/>
  <c r="E16" i="12"/>
  <c r="F115" i="19"/>
  <c r="F3" i="12"/>
  <c r="F116" i="19"/>
  <c r="F4" i="12"/>
  <c r="F5" i="12"/>
  <c r="F6" i="12"/>
  <c r="F14" i="12"/>
  <c r="F23" i="12"/>
  <c r="F24" i="12"/>
  <c r="F15" i="12"/>
  <c r="F16" i="12"/>
  <c r="G115" i="19"/>
  <c r="G3" i="12"/>
  <c r="G116" i="19"/>
  <c r="G4" i="12"/>
  <c r="G5" i="12"/>
  <c r="G6" i="12"/>
  <c r="G14" i="12"/>
  <c r="G23" i="12"/>
  <c r="G24" i="12"/>
  <c r="G15" i="12"/>
  <c r="G16" i="12"/>
  <c r="H115" i="19"/>
  <c r="H3" i="12"/>
  <c r="H116" i="19"/>
  <c r="H4" i="12"/>
  <c r="H5" i="12"/>
  <c r="H6" i="12"/>
  <c r="H14" i="12"/>
  <c r="H23" i="12"/>
  <c r="H24" i="12"/>
  <c r="H15" i="12"/>
  <c r="H16" i="12"/>
  <c r="I115" i="19"/>
  <c r="I3" i="12"/>
  <c r="I116" i="19"/>
  <c r="I4" i="12"/>
  <c r="I5" i="12"/>
  <c r="I6" i="12"/>
  <c r="I14" i="12"/>
  <c r="I23" i="12"/>
  <c r="I24" i="12"/>
  <c r="I15" i="12"/>
  <c r="I16" i="12"/>
  <c r="J115" i="19"/>
  <c r="J3" i="12"/>
  <c r="J116" i="19"/>
  <c r="J4" i="12"/>
  <c r="J5" i="12"/>
  <c r="J6" i="12"/>
  <c r="J14" i="12"/>
  <c r="J23" i="12"/>
  <c r="J24" i="12"/>
  <c r="J15" i="12"/>
  <c r="J16" i="12"/>
  <c r="K16" i="12"/>
  <c r="J21" i="12"/>
  <c r="K152" i="19"/>
  <c r="K153" i="19"/>
  <c r="K154" i="19"/>
  <c r="J55" i="19"/>
  <c r="J25" i="19"/>
  <c r="T64" i="19"/>
  <c r="J65" i="19"/>
  <c r="J56" i="19"/>
  <c r="J26" i="19"/>
  <c r="T65" i="19"/>
  <c r="J66" i="19"/>
  <c r="J57" i="19"/>
  <c r="J27" i="19"/>
  <c r="T66" i="19"/>
  <c r="J67" i="19"/>
  <c r="J58" i="19"/>
  <c r="J28" i="19"/>
  <c r="T67" i="19"/>
  <c r="J68" i="19"/>
  <c r="J69" i="19"/>
  <c r="J60" i="19"/>
  <c r="J30" i="19"/>
  <c r="T69" i="19"/>
  <c r="J70" i="19"/>
  <c r="J71" i="19"/>
  <c r="J2" i="12"/>
  <c r="J44" i="19"/>
  <c r="J45" i="19"/>
  <c r="J46" i="19"/>
  <c r="J47" i="19"/>
  <c r="J29" i="19"/>
  <c r="J48" i="19"/>
  <c r="J49" i="19"/>
  <c r="J50" i="19"/>
  <c r="T115" i="19"/>
  <c r="J110" i="19"/>
  <c r="J7" i="12"/>
  <c r="J111" i="19"/>
  <c r="J9" i="12"/>
  <c r="J10" i="12"/>
  <c r="K9" i="15"/>
  <c r="K2" i="15"/>
  <c r="K3" i="15"/>
  <c r="K4" i="15"/>
  <c r="K5" i="15"/>
  <c r="K6" i="15"/>
  <c r="K7" i="15"/>
  <c r="K8" i="15"/>
  <c r="K10" i="15"/>
  <c r="J19" i="12"/>
  <c r="T116" i="19"/>
  <c r="K20" i="19"/>
  <c r="K19" i="19"/>
  <c r="K17" i="19"/>
  <c r="T111" i="19"/>
  <c r="B56" i="19"/>
  <c r="B26" i="19"/>
  <c r="L65" i="19"/>
  <c r="B66" i="19"/>
  <c r="C56" i="19"/>
  <c r="C26" i="19"/>
  <c r="M65" i="19"/>
  <c r="C66" i="19"/>
  <c r="D56" i="19"/>
  <c r="D26" i="19"/>
  <c r="N65" i="19"/>
  <c r="D66" i="19"/>
  <c r="E56" i="19"/>
  <c r="E26" i="19"/>
  <c r="O65" i="19"/>
  <c r="E66" i="19"/>
  <c r="F56" i="19"/>
  <c r="F26" i="19"/>
  <c r="P65" i="19"/>
  <c r="F66" i="19"/>
  <c r="G56" i="19"/>
  <c r="G26" i="19"/>
  <c r="Q65" i="19"/>
  <c r="G66" i="19"/>
  <c r="H56" i="19"/>
  <c r="H26" i="19"/>
  <c r="R65" i="19"/>
  <c r="H66" i="19"/>
  <c r="I56" i="19"/>
  <c r="I26" i="19"/>
  <c r="S65" i="19"/>
  <c r="I66" i="19"/>
  <c r="K66" i="19"/>
  <c r="B57" i="19"/>
  <c r="B27" i="19"/>
  <c r="L66" i="19"/>
  <c r="B67" i="19"/>
  <c r="C57" i="19"/>
  <c r="C27" i="19"/>
  <c r="M66" i="19"/>
  <c r="C67" i="19"/>
  <c r="D57" i="19"/>
  <c r="D27" i="19"/>
  <c r="N66" i="19"/>
  <c r="D67" i="19"/>
  <c r="E57" i="19"/>
  <c r="E27" i="19"/>
  <c r="O66" i="19"/>
  <c r="E67" i="19"/>
  <c r="F57" i="19"/>
  <c r="F27" i="19"/>
  <c r="P66" i="19"/>
  <c r="F67" i="19"/>
  <c r="G57" i="19"/>
  <c r="G27" i="19"/>
  <c r="Q66" i="19"/>
  <c r="G67" i="19"/>
  <c r="H57" i="19"/>
  <c r="H27" i="19"/>
  <c r="R66" i="19"/>
  <c r="H67" i="19"/>
  <c r="I57" i="19"/>
  <c r="I27" i="19"/>
  <c r="S66" i="19"/>
  <c r="I67" i="19"/>
  <c r="K67" i="19"/>
  <c r="B58" i="19"/>
  <c r="B28" i="19"/>
  <c r="L67" i="19"/>
  <c r="B68" i="19"/>
  <c r="C58" i="19"/>
  <c r="C28" i="19"/>
  <c r="M67" i="19"/>
  <c r="C68" i="19"/>
  <c r="D58" i="19"/>
  <c r="D28" i="19"/>
  <c r="N67" i="19"/>
  <c r="D68" i="19"/>
  <c r="E58" i="19"/>
  <c r="E28" i="19"/>
  <c r="O67" i="19"/>
  <c r="E68" i="19"/>
  <c r="F58" i="19"/>
  <c r="F28" i="19"/>
  <c r="P67" i="19"/>
  <c r="F68" i="19"/>
  <c r="G58" i="19"/>
  <c r="G28" i="19"/>
  <c r="Q67" i="19"/>
  <c r="G68" i="19"/>
  <c r="H58" i="19"/>
  <c r="H28" i="19"/>
  <c r="R67" i="19"/>
  <c r="H68" i="19"/>
  <c r="I58" i="19"/>
  <c r="I28" i="19"/>
  <c r="S67" i="19"/>
  <c r="I68" i="19"/>
  <c r="K68" i="19"/>
  <c r="B59" i="19"/>
  <c r="B29" i="19"/>
  <c r="L68" i="19"/>
  <c r="B69" i="19"/>
  <c r="C69" i="19"/>
  <c r="D69" i="19"/>
  <c r="E69" i="19"/>
  <c r="F69" i="19"/>
  <c r="G69" i="19"/>
  <c r="H69" i="19"/>
  <c r="I69" i="19"/>
  <c r="K69" i="19"/>
  <c r="B60" i="19"/>
  <c r="L69" i="19"/>
  <c r="B70" i="19"/>
  <c r="C60" i="19"/>
  <c r="C30" i="19"/>
  <c r="M69" i="19"/>
  <c r="C70" i="19"/>
  <c r="D60" i="19"/>
  <c r="D30" i="19"/>
  <c r="N69" i="19"/>
  <c r="D70" i="19"/>
  <c r="E60" i="19"/>
  <c r="E30" i="19"/>
  <c r="O69" i="19"/>
  <c r="E70" i="19"/>
  <c r="F60" i="19"/>
  <c r="F30" i="19"/>
  <c r="P69" i="19"/>
  <c r="F70" i="19"/>
  <c r="G60" i="19"/>
  <c r="G30" i="19"/>
  <c r="Q69" i="19"/>
  <c r="G70" i="19"/>
  <c r="H60" i="19"/>
  <c r="H30" i="19"/>
  <c r="R69" i="19"/>
  <c r="H70" i="19"/>
  <c r="I60" i="19"/>
  <c r="I30" i="19"/>
  <c r="S69" i="19"/>
  <c r="I70" i="19"/>
  <c r="K70" i="19"/>
  <c r="D75" i="19"/>
  <c r="E75" i="19"/>
  <c r="F75" i="19"/>
  <c r="G75" i="19"/>
  <c r="H75" i="19"/>
  <c r="I75" i="19"/>
  <c r="J75" i="19"/>
  <c r="D77" i="19"/>
  <c r="E77" i="19"/>
  <c r="F77" i="19"/>
  <c r="G77" i="19"/>
  <c r="H77" i="19"/>
  <c r="I77" i="19"/>
  <c r="J77" i="19"/>
  <c r="C78" i="19"/>
  <c r="D78" i="19"/>
  <c r="E78" i="19"/>
  <c r="F78" i="19"/>
  <c r="G78" i="19"/>
  <c r="H78" i="19"/>
  <c r="I78" i="19"/>
  <c r="J78" i="19"/>
  <c r="C79" i="19"/>
  <c r="D79" i="19"/>
  <c r="E79" i="19"/>
  <c r="F79" i="19"/>
  <c r="G79" i="19"/>
  <c r="H79" i="19"/>
  <c r="I79" i="19"/>
  <c r="J79" i="19"/>
  <c r="C80" i="19"/>
  <c r="D80" i="19"/>
  <c r="E80" i="19"/>
  <c r="F80" i="19"/>
  <c r="G80" i="19"/>
  <c r="H80" i="19"/>
  <c r="I80" i="19"/>
  <c r="J80" i="19"/>
  <c r="C81" i="19"/>
  <c r="D81" i="19"/>
  <c r="E81" i="19"/>
  <c r="F81" i="19"/>
  <c r="G81" i="19"/>
  <c r="H81" i="19"/>
  <c r="I81" i="19"/>
  <c r="J81" i="19"/>
  <c r="D83" i="19"/>
  <c r="E83" i="19"/>
  <c r="F83" i="19"/>
  <c r="G83" i="19"/>
  <c r="H83" i="19"/>
  <c r="I83" i="19"/>
  <c r="J83" i="19"/>
  <c r="E84" i="19"/>
  <c r="F84" i="19"/>
  <c r="G84" i="19"/>
  <c r="H84" i="19"/>
  <c r="I84" i="19"/>
  <c r="J84" i="19"/>
  <c r="D3" i="19"/>
  <c r="E3" i="19"/>
  <c r="F3" i="19"/>
  <c r="G3" i="19"/>
  <c r="H3" i="19"/>
  <c r="I3" i="19"/>
  <c r="J3" i="19"/>
  <c r="D4" i="19"/>
  <c r="E4" i="19"/>
  <c r="F4" i="19"/>
  <c r="G4" i="19"/>
  <c r="H4" i="19"/>
  <c r="I4" i="19"/>
  <c r="J4" i="19"/>
  <c r="D5" i="19"/>
  <c r="E5" i="19"/>
  <c r="F5" i="19"/>
  <c r="G5" i="19"/>
  <c r="H5" i="19"/>
  <c r="I5" i="19"/>
  <c r="J5" i="19"/>
  <c r="D6" i="19"/>
  <c r="E6" i="19"/>
  <c r="F6" i="19"/>
  <c r="G6" i="19"/>
  <c r="H6" i="19"/>
  <c r="I6" i="19"/>
  <c r="J6" i="19"/>
  <c r="D7" i="19"/>
  <c r="E7" i="19"/>
  <c r="F7" i="19"/>
  <c r="G7" i="19"/>
  <c r="H7" i="19"/>
  <c r="I7" i="19"/>
  <c r="J7" i="19"/>
  <c r="D8" i="19"/>
  <c r="E8" i="19"/>
  <c r="F8" i="19"/>
  <c r="G8" i="19"/>
  <c r="H8" i="19"/>
  <c r="I8" i="19"/>
  <c r="J8" i="19"/>
  <c r="J9" i="19"/>
  <c r="J85" i="19"/>
  <c r="J86" i="19"/>
  <c r="T110" i="19"/>
  <c r="F130" i="19"/>
  <c r="C90" i="19"/>
  <c r="D90" i="19"/>
  <c r="E90" i="19"/>
  <c r="F90" i="19"/>
  <c r="G90" i="19"/>
  <c r="H90" i="19"/>
  <c r="I90" i="19"/>
  <c r="J90" i="19"/>
  <c r="F131" i="19"/>
  <c r="C91" i="19"/>
  <c r="D91" i="19"/>
  <c r="E91" i="19"/>
  <c r="F91" i="19"/>
  <c r="G91" i="19"/>
  <c r="H91" i="19"/>
  <c r="I91" i="19"/>
  <c r="J91" i="19"/>
  <c r="F132" i="19"/>
  <c r="C92" i="19"/>
  <c r="D92" i="19"/>
  <c r="E92" i="19"/>
  <c r="F92" i="19"/>
  <c r="G92" i="19"/>
  <c r="H92" i="19"/>
  <c r="I92" i="19"/>
  <c r="J92" i="19"/>
  <c r="F133" i="19"/>
  <c r="C93" i="19"/>
  <c r="D93" i="19"/>
  <c r="E93" i="19"/>
  <c r="F93" i="19"/>
  <c r="G93" i="19"/>
  <c r="H93" i="19"/>
  <c r="I93" i="19"/>
  <c r="J93" i="19"/>
  <c r="F134" i="19"/>
  <c r="C94" i="19"/>
  <c r="D94" i="19"/>
  <c r="E94" i="19"/>
  <c r="F94" i="19"/>
  <c r="G94" i="19"/>
  <c r="H94" i="19"/>
  <c r="I94" i="19"/>
  <c r="J94" i="19"/>
  <c r="F135" i="19"/>
  <c r="C95" i="19"/>
  <c r="D95" i="19"/>
  <c r="E95" i="19"/>
  <c r="F95" i="19"/>
  <c r="G95" i="19"/>
  <c r="H95" i="19"/>
  <c r="I95" i="19"/>
  <c r="J95" i="19"/>
  <c r="F136" i="19"/>
  <c r="C96" i="19"/>
  <c r="D96" i="19"/>
  <c r="E96" i="19"/>
  <c r="F96" i="19"/>
  <c r="G96" i="19"/>
  <c r="H96" i="19"/>
  <c r="I96" i="19"/>
  <c r="J96" i="19"/>
  <c r="F137" i="19"/>
  <c r="C97" i="19"/>
  <c r="D97" i="19"/>
  <c r="E97" i="19"/>
  <c r="F97" i="19"/>
  <c r="G97" i="19"/>
  <c r="H97" i="19"/>
  <c r="I97" i="19"/>
  <c r="J97" i="19"/>
  <c r="F138" i="19"/>
  <c r="C98" i="19"/>
  <c r="D98" i="19"/>
  <c r="E98" i="19"/>
  <c r="F98" i="19"/>
  <c r="G98" i="19"/>
  <c r="H98" i="19"/>
  <c r="I98" i="19"/>
  <c r="J98" i="19"/>
  <c r="F140" i="19"/>
  <c r="C100" i="19"/>
  <c r="D100" i="19"/>
  <c r="E100" i="19"/>
  <c r="F100" i="19"/>
  <c r="G100" i="19"/>
  <c r="H100" i="19"/>
  <c r="I100" i="19"/>
  <c r="J100" i="19"/>
  <c r="F141" i="19"/>
  <c r="C101" i="19"/>
  <c r="D101" i="19"/>
  <c r="E101" i="19"/>
  <c r="F101" i="19"/>
  <c r="G101" i="19"/>
  <c r="H101" i="19"/>
  <c r="I101" i="19"/>
  <c r="J101" i="19"/>
  <c r="F142" i="19"/>
  <c r="C102" i="19"/>
  <c r="D102" i="19"/>
  <c r="E102" i="19"/>
  <c r="F102" i="19"/>
  <c r="G102" i="19"/>
  <c r="H102" i="19"/>
  <c r="I102" i="19"/>
  <c r="J102" i="19"/>
  <c r="F143" i="19"/>
  <c r="C103" i="19"/>
  <c r="D103" i="19"/>
  <c r="E103" i="19"/>
  <c r="F103" i="19"/>
  <c r="G103" i="19"/>
  <c r="H103" i="19"/>
  <c r="I103" i="19"/>
  <c r="J103" i="19"/>
  <c r="F144" i="19"/>
  <c r="C104" i="19"/>
  <c r="D104" i="19"/>
  <c r="E104" i="19"/>
  <c r="F104" i="19"/>
  <c r="G104" i="19"/>
  <c r="H104" i="19"/>
  <c r="I104" i="19"/>
  <c r="J104" i="19"/>
  <c r="F145" i="19"/>
  <c r="C105" i="19"/>
  <c r="D105" i="19"/>
  <c r="E105" i="19"/>
  <c r="F105" i="19"/>
  <c r="G105" i="19"/>
  <c r="H105" i="19"/>
  <c r="I105" i="19"/>
  <c r="J105" i="19"/>
  <c r="J106" i="19"/>
  <c r="T112" i="19"/>
  <c r="J112" i="19"/>
  <c r="T113" i="19"/>
  <c r="J113" i="19"/>
  <c r="J114" i="19"/>
  <c r="B55" i="19"/>
  <c r="B25" i="19"/>
  <c r="L64" i="19"/>
  <c r="B65" i="19"/>
  <c r="B71" i="19"/>
  <c r="C2" i="15"/>
  <c r="O3" i="5"/>
  <c r="B44" i="19"/>
  <c r="B45" i="19"/>
  <c r="B46" i="19"/>
  <c r="B47" i="19"/>
  <c r="B48" i="19"/>
  <c r="B49" i="19"/>
  <c r="B50" i="19"/>
  <c r="L115" i="19"/>
  <c r="C3" i="15"/>
  <c r="O4" i="5"/>
  <c r="B9" i="19"/>
  <c r="B85" i="19"/>
  <c r="B86" i="19"/>
  <c r="L110" i="19"/>
  <c r="B110" i="19"/>
  <c r="C6" i="15"/>
  <c r="O5" i="5"/>
  <c r="C19" i="19"/>
  <c r="L116" i="19"/>
  <c r="C4" i="15"/>
  <c r="C17" i="19"/>
  <c r="L111" i="19"/>
  <c r="B111" i="19"/>
  <c r="C7" i="15"/>
  <c r="O6" i="5"/>
  <c r="B2" i="12"/>
  <c r="B23" i="12"/>
  <c r="B24" i="12"/>
  <c r="C9" i="15"/>
  <c r="O7" i="5"/>
  <c r="O8" i="5"/>
  <c r="C38" i="5"/>
  <c r="C39" i="5"/>
  <c r="C55" i="19"/>
  <c r="C25" i="19"/>
  <c r="M64" i="19"/>
  <c r="C65" i="19"/>
  <c r="M58" i="19"/>
  <c r="M60" i="19"/>
  <c r="C71" i="19"/>
  <c r="D2" i="15"/>
  <c r="AB3" i="5"/>
  <c r="C44" i="19"/>
  <c r="C45" i="19"/>
  <c r="C46" i="19"/>
  <c r="C38" i="19"/>
  <c r="C47" i="19"/>
  <c r="C39" i="19"/>
  <c r="C29" i="19"/>
  <c r="C48" i="19"/>
  <c r="C40" i="19"/>
  <c r="C49" i="19"/>
  <c r="C50" i="19"/>
  <c r="M115" i="19"/>
  <c r="D3" i="15"/>
  <c r="AB4" i="5"/>
  <c r="C9" i="19"/>
  <c r="C85" i="19"/>
  <c r="C86" i="19"/>
  <c r="M110" i="19"/>
  <c r="C110" i="19"/>
  <c r="D6" i="15"/>
  <c r="AB5" i="5"/>
  <c r="D19" i="19"/>
  <c r="M116" i="19"/>
  <c r="D4" i="15"/>
  <c r="D17" i="19"/>
  <c r="M111" i="19"/>
  <c r="C111" i="19"/>
  <c r="D7" i="15"/>
  <c r="AB6" i="5"/>
  <c r="C2" i="12"/>
  <c r="C7" i="12"/>
  <c r="C8" i="12"/>
  <c r="C9" i="12"/>
  <c r="C10" i="12"/>
  <c r="D9" i="15"/>
  <c r="AB7" i="5"/>
  <c r="AB8" i="5"/>
  <c r="D38" i="5"/>
  <c r="D39" i="5"/>
  <c r="D40" i="5"/>
  <c r="N55" i="19"/>
  <c r="D55" i="19"/>
  <c r="D25" i="19"/>
  <c r="N64" i="19"/>
  <c r="D65" i="19"/>
  <c r="N56" i="19"/>
  <c r="N58" i="19"/>
  <c r="N60" i="19"/>
  <c r="D71" i="19"/>
  <c r="E2" i="15"/>
  <c r="AO3" i="5"/>
  <c r="D35" i="19"/>
  <c r="D44" i="19"/>
  <c r="D36" i="19"/>
  <c r="D45" i="19"/>
  <c r="D46" i="19"/>
  <c r="D38" i="19"/>
  <c r="D47" i="19"/>
  <c r="D39" i="19"/>
  <c r="D29" i="19"/>
  <c r="D48" i="19"/>
  <c r="D40" i="19"/>
  <c r="D49" i="19"/>
  <c r="D50" i="19"/>
  <c r="N115" i="19"/>
  <c r="E3" i="15"/>
  <c r="AO4" i="5"/>
  <c r="D85" i="19"/>
  <c r="D86" i="19"/>
  <c r="N110" i="19"/>
  <c r="D110" i="19"/>
  <c r="E6" i="15"/>
  <c r="AO5" i="5"/>
  <c r="E19" i="19"/>
  <c r="N116" i="19"/>
  <c r="E4" i="15"/>
  <c r="E17" i="19"/>
  <c r="N111" i="19"/>
  <c r="D111" i="19"/>
  <c r="E7" i="15"/>
  <c r="AO6" i="5"/>
  <c r="D2" i="12"/>
  <c r="D7" i="12"/>
  <c r="D9" i="19"/>
  <c r="D8" i="12"/>
  <c r="D9" i="12"/>
  <c r="D10" i="12"/>
  <c r="E9" i="15"/>
  <c r="AO7" i="5"/>
  <c r="AO8" i="5"/>
  <c r="E38" i="5"/>
  <c r="E39" i="5"/>
  <c r="E40" i="5"/>
  <c r="B29" i="5"/>
  <c r="B39" i="5"/>
  <c r="O55" i="19"/>
  <c r="E55" i="19"/>
  <c r="E25" i="19"/>
  <c r="O64" i="19"/>
  <c r="E65" i="19"/>
  <c r="O56" i="19"/>
  <c r="O57" i="19"/>
  <c r="O58" i="19"/>
  <c r="O60" i="19"/>
  <c r="E71" i="19"/>
  <c r="F2" i="15"/>
  <c r="BB3" i="5"/>
  <c r="E35" i="19"/>
  <c r="E44" i="19"/>
  <c r="E36" i="19"/>
  <c r="E45" i="19"/>
  <c r="E37" i="19"/>
  <c r="E46" i="19"/>
  <c r="E38" i="19"/>
  <c r="E47" i="19"/>
  <c r="E39" i="19"/>
  <c r="E29" i="19"/>
  <c r="E48" i="19"/>
  <c r="E40" i="19"/>
  <c r="E49" i="19"/>
  <c r="E50" i="19"/>
  <c r="O115" i="19"/>
  <c r="F3" i="15"/>
  <c r="BB4" i="5"/>
  <c r="E85" i="19"/>
  <c r="E86" i="19"/>
  <c r="O110" i="19"/>
  <c r="E110" i="19"/>
  <c r="F6" i="15"/>
  <c r="BB5" i="5"/>
  <c r="F19" i="19"/>
  <c r="O116" i="19"/>
  <c r="F4" i="15"/>
  <c r="F17" i="19"/>
  <c r="O111" i="19"/>
  <c r="E111" i="19"/>
  <c r="F7" i="15"/>
  <c r="BB6" i="5"/>
  <c r="E2" i="12"/>
  <c r="E7" i="12"/>
  <c r="E9" i="19"/>
  <c r="E8" i="12"/>
  <c r="E9" i="12"/>
  <c r="E10" i="12"/>
  <c r="F9" i="15"/>
  <c r="BB7" i="5"/>
  <c r="BB8" i="5"/>
  <c r="F38" i="5"/>
  <c r="F39" i="5"/>
  <c r="P55" i="19"/>
  <c r="F55" i="19"/>
  <c r="F25" i="19"/>
  <c r="P64" i="19"/>
  <c r="F65" i="19"/>
  <c r="P56" i="19"/>
  <c r="P57" i="19"/>
  <c r="P58" i="19"/>
  <c r="P60" i="19"/>
  <c r="F71" i="19"/>
  <c r="G2" i="15"/>
  <c r="F35" i="19"/>
  <c r="F44" i="19"/>
  <c r="F36" i="19"/>
  <c r="F45" i="19"/>
  <c r="F37" i="19"/>
  <c r="F46" i="19"/>
  <c r="F38" i="19"/>
  <c r="F47" i="19"/>
  <c r="F39" i="19"/>
  <c r="F29" i="19"/>
  <c r="F48" i="19"/>
  <c r="F40" i="19"/>
  <c r="F49" i="19"/>
  <c r="F50" i="19"/>
  <c r="P115" i="19"/>
  <c r="G3" i="15"/>
  <c r="G19" i="19"/>
  <c r="P116" i="19"/>
  <c r="G4" i="15"/>
  <c r="G5" i="15"/>
  <c r="F9" i="19"/>
  <c r="F85" i="19"/>
  <c r="F86" i="19"/>
  <c r="P110" i="19"/>
  <c r="F110" i="19"/>
  <c r="G6" i="15"/>
  <c r="G17" i="19"/>
  <c r="P111" i="19"/>
  <c r="F111" i="19"/>
  <c r="G7" i="15"/>
  <c r="G8" i="15"/>
  <c r="F2" i="12"/>
  <c r="F7" i="12"/>
  <c r="F8" i="12"/>
  <c r="F9" i="12"/>
  <c r="F10" i="12"/>
  <c r="G9" i="15"/>
  <c r="G10" i="15"/>
  <c r="G38" i="5"/>
  <c r="G39" i="5"/>
  <c r="Q55" i="19"/>
  <c r="G55" i="19"/>
  <c r="G25" i="19"/>
  <c r="Q64" i="19"/>
  <c r="G65" i="19"/>
  <c r="Q56" i="19"/>
  <c r="Q57" i="19"/>
  <c r="Q58" i="19"/>
  <c r="Q60" i="19"/>
  <c r="G71" i="19"/>
  <c r="H2" i="15"/>
  <c r="G35" i="19"/>
  <c r="G44" i="19"/>
  <c r="G36" i="19"/>
  <c r="G45" i="19"/>
  <c r="G37" i="19"/>
  <c r="G46" i="19"/>
  <c r="G38" i="19"/>
  <c r="G47" i="19"/>
  <c r="G39" i="19"/>
  <c r="G29" i="19"/>
  <c r="G48" i="19"/>
  <c r="G40" i="19"/>
  <c r="G49" i="19"/>
  <c r="G50" i="19"/>
  <c r="Q115" i="19"/>
  <c r="H3" i="15"/>
  <c r="H19" i="19"/>
  <c r="Q116" i="19"/>
  <c r="H4" i="15"/>
  <c r="H5" i="15"/>
  <c r="G9" i="19"/>
  <c r="G85" i="19"/>
  <c r="G86" i="19"/>
  <c r="Q110" i="19"/>
  <c r="G110" i="19"/>
  <c r="H6" i="15"/>
  <c r="H17" i="19"/>
  <c r="Q111" i="19"/>
  <c r="G111" i="19"/>
  <c r="H7" i="15"/>
  <c r="H8" i="15"/>
  <c r="C146" i="19"/>
  <c r="B90" i="19"/>
  <c r="B91" i="19"/>
  <c r="B92" i="19"/>
  <c r="B93" i="19"/>
  <c r="B94" i="19"/>
  <c r="B95" i="19"/>
  <c r="B96" i="19"/>
  <c r="B97" i="19"/>
  <c r="B98" i="19"/>
  <c r="F139" i="19"/>
  <c r="B99" i="19"/>
  <c r="B100" i="19"/>
  <c r="B101" i="19"/>
  <c r="B102" i="19"/>
  <c r="B103" i="19"/>
  <c r="B104" i="19"/>
  <c r="B105" i="19"/>
  <c r="B106" i="19"/>
  <c r="L112" i="19"/>
  <c r="C152" i="19"/>
  <c r="C99" i="19"/>
  <c r="C106" i="19"/>
  <c r="M112" i="19"/>
  <c r="C112" i="19"/>
  <c r="D152" i="19"/>
  <c r="D99" i="19"/>
  <c r="D106" i="19"/>
  <c r="N112" i="19"/>
  <c r="D112" i="19"/>
  <c r="E152" i="19"/>
  <c r="E99" i="19"/>
  <c r="E106" i="19"/>
  <c r="O112" i="19"/>
  <c r="E112" i="19"/>
  <c r="F152" i="19"/>
  <c r="F99" i="19"/>
  <c r="F106" i="19"/>
  <c r="P112" i="19"/>
  <c r="F112" i="19"/>
  <c r="G152" i="19"/>
  <c r="G106" i="19"/>
  <c r="Q112" i="19"/>
  <c r="G112" i="19"/>
  <c r="H152" i="19"/>
  <c r="H153" i="19"/>
  <c r="H154" i="19"/>
  <c r="G21" i="12"/>
  <c r="G2" i="12"/>
  <c r="G7" i="12"/>
  <c r="G8" i="12"/>
  <c r="G9" i="12"/>
  <c r="G10" i="12"/>
  <c r="H9" i="15"/>
  <c r="H10" i="15"/>
  <c r="H38" i="5"/>
  <c r="H39" i="5"/>
  <c r="R55" i="19"/>
  <c r="H55" i="19"/>
  <c r="H25" i="19"/>
  <c r="R64" i="19"/>
  <c r="H65" i="19"/>
  <c r="R56" i="19"/>
  <c r="R57" i="19"/>
  <c r="R58" i="19"/>
  <c r="R60" i="19"/>
  <c r="H71" i="19"/>
  <c r="I2" i="15"/>
  <c r="H35" i="19"/>
  <c r="H44" i="19"/>
  <c r="H36" i="19"/>
  <c r="H45" i="19"/>
  <c r="H37" i="19"/>
  <c r="H46" i="19"/>
  <c r="H38" i="19"/>
  <c r="H47" i="19"/>
  <c r="H39" i="19"/>
  <c r="H29" i="19"/>
  <c r="H48" i="19"/>
  <c r="H40" i="19"/>
  <c r="H49" i="19"/>
  <c r="H50" i="19"/>
  <c r="R115" i="19"/>
  <c r="I3" i="15"/>
  <c r="I19" i="19"/>
  <c r="R116" i="19"/>
  <c r="I4" i="15"/>
  <c r="I5" i="15"/>
  <c r="H9" i="19"/>
  <c r="H85" i="19"/>
  <c r="H86" i="19"/>
  <c r="R110" i="19"/>
  <c r="H110" i="19"/>
  <c r="I6" i="15"/>
  <c r="I17" i="19"/>
  <c r="R111" i="19"/>
  <c r="H111" i="19"/>
  <c r="I7" i="15"/>
  <c r="I8" i="15"/>
  <c r="H106" i="19"/>
  <c r="R112" i="19"/>
  <c r="H112" i="19"/>
  <c r="I152" i="19"/>
  <c r="I153" i="19"/>
  <c r="I154" i="19"/>
  <c r="H21" i="12"/>
  <c r="H2" i="12"/>
  <c r="H7" i="12"/>
  <c r="H8" i="12"/>
  <c r="H9" i="12"/>
  <c r="H10" i="12"/>
  <c r="I9" i="15"/>
  <c r="I10" i="15"/>
  <c r="I38" i="5"/>
  <c r="I39" i="5"/>
  <c r="S55" i="19"/>
  <c r="I55" i="19"/>
  <c r="I25" i="19"/>
  <c r="S64" i="19"/>
  <c r="I65" i="19"/>
  <c r="S56" i="19"/>
  <c r="S57" i="19"/>
  <c r="S58" i="19"/>
  <c r="S60" i="19"/>
  <c r="I71" i="19"/>
  <c r="J2" i="15"/>
  <c r="I35" i="19"/>
  <c r="I44" i="19"/>
  <c r="I36" i="19"/>
  <c r="I45" i="19"/>
  <c r="I37" i="19"/>
  <c r="I46" i="19"/>
  <c r="I38" i="19"/>
  <c r="I47" i="19"/>
  <c r="I39" i="19"/>
  <c r="I29" i="19"/>
  <c r="I48" i="19"/>
  <c r="I40" i="19"/>
  <c r="I49" i="19"/>
  <c r="I50" i="19"/>
  <c r="S115" i="19"/>
  <c r="J3" i="15"/>
  <c r="J19" i="19"/>
  <c r="S116" i="19"/>
  <c r="J4" i="15"/>
  <c r="J5" i="15"/>
  <c r="I9" i="19"/>
  <c r="I85" i="19"/>
  <c r="I86" i="19"/>
  <c r="S110" i="19"/>
  <c r="I110" i="19"/>
  <c r="J6" i="15"/>
  <c r="J17" i="19"/>
  <c r="S111" i="19"/>
  <c r="I111" i="19"/>
  <c r="J7" i="15"/>
  <c r="J8" i="15"/>
  <c r="I106" i="19"/>
  <c r="S112" i="19"/>
  <c r="I112" i="19"/>
  <c r="J152" i="19"/>
  <c r="J153" i="19"/>
  <c r="J154" i="19"/>
  <c r="I21" i="12"/>
  <c r="I2" i="12"/>
  <c r="I7" i="12"/>
  <c r="I8" i="12"/>
  <c r="I9" i="12"/>
  <c r="I10" i="12"/>
  <c r="J9" i="15"/>
  <c r="J10" i="15"/>
  <c r="J38" i="5"/>
  <c r="J39" i="5"/>
  <c r="T55" i="19"/>
  <c r="T56" i="19"/>
  <c r="T57" i="19"/>
  <c r="T58" i="19"/>
  <c r="T60" i="19"/>
  <c r="J35" i="19"/>
  <c r="J36" i="19"/>
  <c r="J37" i="19"/>
  <c r="J38" i="19"/>
  <c r="J39" i="19"/>
  <c r="J40" i="19"/>
  <c r="K38" i="5"/>
  <c r="K39" i="5"/>
  <c r="B33" i="5"/>
  <c r="C5" i="15"/>
  <c r="C8" i="15"/>
  <c r="C10" i="15"/>
  <c r="D5" i="15"/>
  <c r="D8" i="15"/>
  <c r="D10" i="15"/>
  <c r="E5" i="15"/>
  <c r="E8" i="15"/>
  <c r="E10" i="15"/>
  <c r="F5" i="15"/>
  <c r="F8" i="15"/>
  <c r="F10" i="15"/>
  <c r="B31" i="19"/>
  <c r="B24" i="8"/>
  <c r="B34" i="8"/>
  <c r="B35" i="8"/>
  <c r="B36" i="8"/>
  <c r="B37" i="8"/>
  <c r="B38" i="8"/>
  <c r="B39" i="8"/>
  <c r="L122" i="19"/>
  <c r="B28" i="8"/>
  <c r="L123" i="19"/>
  <c r="B29" i="8"/>
  <c r="B41" i="8"/>
  <c r="B8" i="8"/>
  <c r="J7" i="21"/>
  <c r="C14" i="15"/>
  <c r="C15" i="15"/>
  <c r="C13" i="15"/>
  <c r="C16" i="15"/>
  <c r="C4" i="8"/>
  <c r="C31" i="19"/>
  <c r="C24" i="8"/>
  <c r="C34" i="8"/>
  <c r="C35" i="8"/>
  <c r="C36" i="8"/>
  <c r="C37" i="8"/>
  <c r="C38" i="8"/>
  <c r="C39" i="8"/>
  <c r="M122" i="19"/>
  <c r="C28" i="8"/>
  <c r="M123" i="19"/>
  <c r="C29" i="8"/>
  <c r="C41" i="8"/>
  <c r="C8" i="8"/>
  <c r="C10" i="8"/>
  <c r="B30" i="8"/>
  <c r="B42" i="8"/>
  <c r="M113" i="19"/>
  <c r="C113" i="19"/>
  <c r="C114" i="19"/>
  <c r="C117" i="19"/>
  <c r="O13" i="5"/>
  <c r="I13" i="5"/>
  <c r="O14" i="5"/>
  <c r="I14" i="5"/>
  <c r="I19" i="5"/>
  <c r="J13" i="5"/>
  <c r="J14" i="5"/>
  <c r="J19" i="5"/>
  <c r="C11" i="15"/>
  <c r="O9" i="5"/>
  <c r="O11" i="5"/>
  <c r="H8" i="5"/>
  <c r="I8" i="5"/>
  <c r="I20" i="5"/>
  <c r="K14" i="5"/>
  <c r="L14" i="5"/>
  <c r="M14" i="5"/>
  <c r="N14" i="5"/>
  <c r="K13" i="5"/>
  <c r="L13" i="5"/>
  <c r="M13" i="5"/>
  <c r="N13" i="5"/>
  <c r="D15" i="15"/>
  <c r="E15" i="15"/>
  <c r="F15" i="15"/>
  <c r="G15" i="15"/>
  <c r="H15" i="15"/>
  <c r="I15" i="15"/>
  <c r="J15" i="15"/>
  <c r="K15" i="15"/>
  <c r="K7" i="21"/>
  <c r="D14" i="15"/>
  <c r="L7" i="21"/>
  <c r="E14" i="15"/>
  <c r="M7" i="21"/>
  <c r="F14" i="15"/>
  <c r="N7" i="21"/>
  <c r="G14" i="15"/>
  <c r="O7" i="21"/>
  <c r="H14" i="15"/>
  <c r="P7" i="21"/>
  <c r="I14" i="15"/>
  <c r="Q7" i="21"/>
  <c r="J14" i="15"/>
  <c r="R7" i="21"/>
  <c r="K14" i="15"/>
  <c r="J8" i="5"/>
  <c r="K8" i="5"/>
  <c r="L8" i="5"/>
  <c r="D6" i="5"/>
  <c r="E6" i="5"/>
  <c r="F6" i="5"/>
  <c r="G6" i="5"/>
  <c r="H6" i="5"/>
  <c r="I6" i="5"/>
  <c r="J6" i="5"/>
  <c r="K6" i="5"/>
  <c r="L6" i="5"/>
  <c r="H5" i="5"/>
  <c r="I5" i="5"/>
  <c r="J5" i="5"/>
  <c r="K5" i="5"/>
  <c r="L5" i="5"/>
  <c r="M5" i="5"/>
  <c r="N5" i="5"/>
  <c r="H4" i="5"/>
  <c r="I4" i="5"/>
  <c r="J4" i="5"/>
  <c r="K4" i="5"/>
  <c r="L4" i="5"/>
  <c r="M4" i="5"/>
  <c r="H3" i="5"/>
  <c r="I3" i="5"/>
  <c r="J3" i="5"/>
  <c r="K3" i="5"/>
  <c r="L3" i="5"/>
  <c r="M3" i="5"/>
  <c r="N3" i="5"/>
  <c r="M8" i="5"/>
  <c r="N8" i="5"/>
  <c r="N19" i="5"/>
  <c r="N20" i="5"/>
  <c r="O12" i="5"/>
  <c r="O19" i="5"/>
  <c r="O20" i="5"/>
  <c r="H19" i="5"/>
  <c r="L19" i="5"/>
  <c r="R10" i="20"/>
  <c r="T10" i="20"/>
  <c r="U10" i="20"/>
  <c r="R11" i="20"/>
  <c r="T11" i="20"/>
  <c r="U11" i="20"/>
  <c r="R12" i="20"/>
  <c r="T12" i="20"/>
  <c r="U12" i="20"/>
  <c r="R13" i="20"/>
  <c r="T13" i="20"/>
  <c r="U13" i="20"/>
  <c r="R14" i="20"/>
  <c r="T14" i="20"/>
  <c r="U14" i="20"/>
  <c r="R15" i="20"/>
  <c r="T15" i="20"/>
  <c r="U15" i="20"/>
  <c r="R16" i="20"/>
  <c r="T16" i="20"/>
  <c r="U16" i="20"/>
  <c r="R17" i="20"/>
  <c r="T17" i="20"/>
  <c r="U17" i="20"/>
  <c r="U18" i="20"/>
  <c r="R4" i="20"/>
  <c r="S4" i="20"/>
  <c r="U4" i="20"/>
  <c r="R5" i="20"/>
  <c r="S5" i="20"/>
  <c r="U5" i="20"/>
  <c r="R6" i="20"/>
  <c r="S6" i="20"/>
  <c r="U6" i="20"/>
  <c r="R7" i="20"/>
  <c r="T7" i="20"/>
  <c r="U7" i="20"/>
  <c r="U8" i="20"/>
  <c r="V10" i="20"/>
  <c r="X10" i="20"/>
  <c r="Y10" i="20"/>
  <c r="V11" i="20"/>
  <c r="X11" i="20"/>
  <c r="Y11" i="20"/>
  <c r="V12" i="20"/>
  <c r="X12" i="20"/>
  <c r="Y12" i="20"/>
  <c r="V13" i="20"/>
  <c r="X13" i="20"/>
  <c r="Y13" i="20"/>
  <c r="V14" i="20"/>
  <c r="X14" i="20"/>
  <c r="Y14" i="20"/>
  <c r="V15" i="20"/>
  <c r="X15" i="20"/>
  <c r="Y15" i="20"/>
  <c r="V16" i="20"/>
  <c r="X16" i="20"/>
  <c r="Y16" i="20"/>
  <c r="V17" i="20"/>
  <c r="X17" i="20"/>
  <c r="Y17" i="20"/>
  <c r="Y18" i="20"/>
  <c r="V4" i="20"/>
  <c r="W4" i="20"/>
  <c r="Y4" i="20"/>
  <c r="V5" i="20"/>
  <c r="W5" i="20"/>
  <c r="Y5" i="20"/>
  <c r="V6" i="20"/>
  <c r="W6" i="20"/>
  <c r="Y6" i="20"/>
  <c r="V7" i="20"/>
  <c r="X7" i="20"/>
  <c r="Y7" i="20"/>
  <c r="Y8" i="20"/>
  <c r="Z10" i="20"/>
  <c r="AB10" i="20"/>
  <c r="AC10" i="20"/>
  <c r="Z11" i="20"/>
  <c r="AB11" i="20"/>
  <c r="AC11" i="20"/>
  <c r="Z12" i="20"/>
  <c r="AB12" i="20"/>
  <c r="AC12" i="20"/>
  <c r="Z13" i="20"/>
  <c r="AB13" i="20"/>
  <c r="AC13" i="20"/>
  <c r="Z14" i="20"/>
  <c r="AB14" i="20"/>
  <c r="AC14" i="20"/>
  <c r="Z15" i="20"/>
  <c r="AB15" i="20"/>
  <c r="AC15" i="20"/>
  <c r="Z16" i="20"/>
  <c r="AB16" i="20"/>
  <c r="AC16" i="20"/>
  <c r="Z17" i="20"/>
  <c r="AB17" i="20"/>
  <c r="AC17" i="20"/>
  <c r="AC18" i="20"/>
  <c r="Z4" i="20"/>
  <c r="AA4" i="20"/>
  <c r="AC4" i="20"/>
  <c r="Z5" i="20"/>
  <c r="AA5" i="20"/>
  <c r="AC5" i="20"/>
  <c r="Z6" i="20"/>
  <c r="AA6" i="20"/>
  <c r="AC6" i="20"/>
  <c r="Z7" i="20"/>
  <c r="AB7" i="20"/>
  <c r="AC7" i="20"/>
  <c r="AC8" i="20"/>
  <c r="AD10" i="20"/>
  <c r="AF10" i="20"/>
  <c r="AG10" i="20"/>
  <c r="AD11" i="20"/>
  <c r="AF11" i="20"/>
  <c r="AG11" i="20"/>
  <c r="AD12" i="20"/>
  <c r="AF12" i="20"/>
  <c r="AG12" i="20"/>
  <c r="AD13" i="20"/>
  <c r="AF13" i="20"/>
  <c r="AG13" i="20"/>
  <c r="AD14" i="20"/>
  <c r="AF14" i="20"/>
  <c r="AG14" i="20"/>
  <c r="AD15" i="20"/>
  <c r="AF15" i="20"/>
  <c r="AG15" i="20"/>
  <c r="AD16" i="20"/>
  <c r="AF16" i="20"/>
  <c r="AG16" i="20"/>
  <c r="AD17" i="20"/>
  <c r="AF17" i="20"/>
  <c r="AG17" i="20"/>
  <c r="AG18" i="20"/>
  <c r="AD4" i="20"/>
  <c r="AE4" i="20"/>
  <c r="AG4" i="20"/>
  <c r="AD5" i="20"/>
  <c r="AE5" i="20"/>
  <c r="AG5" i="20"/>
  <c r="AD6" i="20"/>
  <c r="AE6" i="20"/>
  <c r="AG6" i="20"/>
  <c r="AD7" i="20"/>
  <c r="AF7" i="20"/>
  <c r="AG7" i="20"/>
  <c r="AG8" i="20"/>
  <c r="AH10" i="20"/>
  <c r="AJ10" i="20"/>
  <c r="AK10" i="20"/>
  <c r="AH11" i="20"/>
  <c r="AJ11" i="20"/>
  <c r="AK11" i="20"/>
  <c r="AH12" i="20"/>
  <c r="AJ12" i="20"/>
  <c r="AK12" i="20"/>
  <c r="AH13" i="20"/>
  <c r="AJ13" i="20"/>
  <c r="AK13" i="20"/>
  <c r="AH14" i="20"/>
  <c r="AJ14" i="20"/>
  <c r="AK14" i="20"/>
  <c r="AH15" i="20"/>
  <c r="AJ15" i="20"/>
  <c r="AK15" i="20"/>
  <c r="AH16" i="20"/>
  <c r="AJ16" i="20"/>
  <c r="AK16" i="20"/>
  <c r="AH17" i="20"/>
  <c r="AJ17" i="20"/>
  <c r="AK17" i="20"/>
  <c r="AK18" i="20"/>
  <c r="AH4" i="20"/>
  <c r="AI4" i="20"/>
  <c r="AK4" i="20"/>
  <c r="AH5" i="20"/>
  <c r="AI5" i="20"/>
  <c r="AK5" i="20"/>
  <c r="AH6" i="20"/>
  <c r="AI6" i="20"/>
  <c r="AK6" i="20"/>
  <c r="AH7" i="20"/>
  <c r="AJ7" i="20"/>
  <c r="AK7" i="20"/>
  <c r="AK8" i="20"/>
  <c r="AL10" i="20"/>
  <c r="AN10" i="20"/>
  <c r="AO10" i="20"/>
  <c r="AL11" i="20"/>
  <c r="AN11" i="20"/>
  <c r="AO11" i="20"/>
  <c r="AL12" i="20"/>
  <c r="AN12" i="20"/>
  <c r="AO12" i="20"/>
  <c r="AL13" i="20"/>
  <c r="AN13" i="20"/>
  <c r="AO13" i="20"/>
  <c r="AL14" i="20"/>
  <c r="AN14" i="20"/>
  <c r="AO14" i="20"/>
  <c r="AL15" i="20"/>
  <c r="AN15" i="20"/>
  <c r="AO15" i="20"/>
  <c r="AL16" i="20"/>
  <c r="AN16" i="20"/>
  <c r="AO16" i="20"/>
  <c r="AL17" i="20"/>
  <c r="AN17" i="20"/>
  <c r="AO17" i="20"/>
  <c r="AO18" i="20"/>
  <c r="AL4" i="20"/>
  <c r="AM4" i="20"/>
  <c r="AO4" i="20"/>
  <c r="AL5" i="20"/>
  <c r="AM5" i="20"/>
  <c r="AO5" i="20"/>
  <c r="AL6" i="20"/>
  <c r="AM6" i="20"/>
  <c r="AO6" i="20"/>
  <c r="AL7" i="20"/>
  <c r="AN7" i="20"/>
  <c r="AO7" i="20"/>
  <c r="AO8" i="20"/>
  <c r="J8" i="12"/>
  <c r="B38" i="5"/>
  <c r="B34" i="5"/>
  <c r="C7" i="3"/>
  <c r="C30" i="8"/>
  <c r="N123" i="19"/>
  <c r="D29" i="8"/>
  <c r="D31" i="19"/>
  <c r="D24" i="8"/>
  <c r="D30" i="8"/>
  <c r="O123" i="19"/>
  <c r="E29" i="8"/>
  <c r="E31" i="19"/>
  <c r="E24" i="8"/>
  <c r="E30" i="8"/>
  <c r="P123" i="19"/>
  <c r="F29" i="8"/>
  <c r="F31" i="19"/>
  <c r="F24" i="8"/>
  <c r="F30" i="8"/>
  <c r="Q123" i="19"/>
  <c r="G29" i="8"/>
  <c r="G31" i="19"/>
  <c r="G24" i="8"/>
  <c r="G30" i="8"/>
  <c r="R123" i="19"/>
  <c r="H29" i="8"/>
  <c r="H31" i="19"/>
  <c r="H24" i="8"/>
  <c r="H30" i="8"/>
  <c r="S123" i="19"/>
  <c r="I29" i="8"/>
  <c r="I31" i="19"/>
  <c r="I24" i="8"/>
  <c r="I30" i="8"/>
  <c r="T123" i="19"/>
  <c r="J29" i="8"/>
  <c r="J31" i="19"/>
  <c r="J24" i="8"/>
  <c r="J30" i="8"/>
  <c r="L30" i="8"/>
  <c r="B46" i="8"/>
  <c r="B7" i="12"/>
  <c r="B8" i="12"/>
  <c r="B9" i="12"/>
  <c r="B10" i="12"/>
  <c r="B112" i="19"/>
  <c r="B11" i="12"/>
  <c r="L113" i="19"/>
  <c r="B12" i="12"/>
  <c r="B13" i="12"/>
  <c r="B15" i="12"/>
  <c r="C11" i="12"/>
  <c r="C12" i="12"/>
  <c r="C13" i="12"/>
  <c r="D11" i="12"/>
  <c r="N113" i="19"/>
  <c r="D12" i="12"/>
  <c r="D13" i="12"/>
  <c r="E11" i="12"/>
  <c r="O113" i="19"/>
  <c r="E12" i="12"/>
  <c r="E13" i="12"/>
  <c r="F11" i="12"/>
  <c r="P113" i="19"/>
  <c r="F12" i="12"/>
  <c r="F13" i="12"/>
  <c r="G11" i="12"/>
  <c r="Q113" i="19"/>
  <c r="G12" i="12"/>
  <c r="G13" i="12"/>
  <c r="H11" i="12"/>
  <c r="R113" i="19"/>
  <c r="H12" i="12"/>
  <c r="H13" i="12"/>
  <c r="I11" i="12"/>
  <c r="S113" i="19"/>
  <c r="I12" i="12"/>
  <c r="I13" i="12"/>
  <c r="J11" i="12"/>
  <c r="J12" i="12"/>
  <c r="J13" i="12"/>
  <c r="N4" i="21"/>
  <c r="H51" i="21"/>
  <c r="G51" i="21"/>
  <c r="M4" i="21"/>
  <c r="H39" i="21"/>
  <c r="L4" i="21"/>
  <c r="H27" i="21"/>
  <c r="G27" i="21"/>
  <c r="K4" i="21"/>
  <c r="J4" i="21"/>
  <c r="H15" i="21"/>
  <c r="G15" i="21"/>
  <c r="H3" i="21"/>
  <c r="G3" i="21"/>
  <c r="R5" i="21"/>
  <c r="Q5" i="21"/>
  <c r="P5" i="21"/>
  <c r="O5" i="21"/>
  <c r="N5" i="21"/>
  <c r="M5" i="21"/>
  <c r="L5" i="21"/>
  <c r="K5" i="21"/>
  <c r="J5" i="21"/>
  <c r="BP9" i="5"/>
  <c r="BD9" i="5"/>
  <c r="BQ9" i="5"/>
  <c r="BE9" i="5"/>
  <c r="BF9" i="5"/>
  <c r="BG9" i="5"/>
  <c r="BH9" i="5"/>
  <c r="BI9" i="5"/>
  <c r="BJ9" i="5"/>
  <c r="BK9" i="5"/>
  <c r="BL9" i="5"/>
  <c r="BM9" i="5"/>
  <c r="BN9" i="5"/>
  <c r="BP10" i="5"/>
  <c r="BD10" i="5"/>
  <c r="BQ10" i="5"/>
  <c r="BE10" i="5"/>
  <c r="BF10" i="5"/>
  <c r="BG10" i="5"/>
  <c r="BH10" i="5"/>
  <c r="BI10" i="5"/>
  <c r="BJ10" i="5"/>
  <c r="BK10" i="5"/>
  <c r="BL10" i="5"/>
  <c r="BM10" i="5"/>
  <c r="BN10" i="5"/>
  <c r="BP11" i="5"/>
  <c r="BD11" i="5"/>
  <c r="BQ11" i="5"/>
  <c r="BE11" i="5"/>
  <c r="BF11" i="5"/>
  <c r="BG11" i="5"/>
  <c r="BH11" i="5"/>
  <c r="BI11" i="5"/>
  <c r="BJ11" i="5"/>
  <c r="BK11" i="5"/>
  <c r="BL11" i="5"/>
  <c r="BM11" i="5"/>
  <c r="BN11" i="5"/>
  <c r="BP12" i="5"/>
  <c r="BD12" i="5"/>
  <c r="BQ12" i="5"/>
  <c r="BE12" i="5"/>
  <c r="BF12" i="5"/>
  <c r="BG12" i="5"/>
  <c r="BH12" i="5"/>
  <c r="BI12" i="5"/>
  <c r="BJ12" i="5"/>
  <c r="BK12" i="5"/>
  <c r="BL12" i="5"/>
  <c r="BM12" i="5"/>
  <c r="BN12" i="5"/>
  <c r="CB13" i="5"/>
  <c r="BP13" i="5"/>
  <c r="BD13" i="5"/>
  <c r="BQ13" i="5"/>
  <c r="BE13" i="5"/>
  <c r="BF13" i="5"/>
  <c r="BG13" i="5"/>
  <c r="BH13" i="5"/>
  <c r="BI13" i="5"/>
  <c r="BJ13" i="5"/>
  <c r="BK13" i="5"/>
  <c r="BL13" i="5"/>
  <c r="BM13" i="5"/>
  <c r="BN13" i="5"/>
  <c r="CB14" i="5"/>
  <c r="BP14" i="5"/>
  <c r="BD14" i="5"/>
  <c r="BQ14" i="5"/>
  <c r="BE14" i="5"/>
  <c r="BF14" i="5"/>
  <c r="BG14" i="5"/>
  <c r="BH14" i="5"/>
  <c r="BI14" i="5"/>
  <c r="BJ14" i="5"/>
  <c r="BK14" i="5"/>
  <c r="BL14" i="5"/>
  <c r="BM14" i="5"/>
  <c r="BN14" i="5"/>
  <c r="BP15" i="5"/>
  <c r="BD15" i="5"/>
  <c r="BQ15" i="5"/>
  <c r="BE15" i="5"/>
  <c r="BF15" i="5"/>
  <c r="BG15" i="5"/>
  <c r="BH15" i="5"/>
  <c r="BI15" i="5"/>
  <c r="BJ15" i="5"/>
  <c r="BK15" i="5"/>
  <c r="BL15" i="5"/>
  <c r="BM15" i="5"/>
  <c r="BN15" i="5"/>
  <c r="BP16" i="5"/>
  <c r="BD16" i="5"/>
  <c r="BQ16" i="5"/>
  <c r="BE16" i="5"/>
  <c r="BF16" i="5"/>
  <c r="BG16" i="5"/>
  <c r="BH16" i="5"/>
  <c r="BI16" i="5"/>
  <c r="BJ16" i="5"/>
  <c r="BK16" i="5"/>
  <c r="BL16" i="5"/>
  <c r="BM16" i="5"/>
  <c r="BN16" i="5"/>
  <c r="BP17" i="5"/>
  <c r="BD17" i="5"/>
  <c r="BQ17" i="5"/>
  <c r="BE17" i="5"/>
  <c r="BF17" i="5"/>
  <c r="BG17" i="5"/>
  <c r="BH17" i="5"/>
  <c r="BI17" i="5"/>
  <c r="BJ17" i="5"/>
  <c r="BK17" i="5"/>
  <c r="BL17" i="5"/>
  <c r="BM17" i="5"/>
  <c r="BN17" i="5"/>
  <c r="BP18" i="5"/>
  <c r="BD18" i="5"/>
  <c r="BQ18" i="5"/>
  <c r="BE18" i="5"/>
  <c r="BF18" i="5"/>
  <c r="BG18" i="5"/>
  <c r="BH18" i="5"/>
  <c r="BI18" i="5"/>
  <c r="BJ18" i="5"/>
  <c r="BK18" i="5"/>
  <c r="BL18" i="5"/>
  <c r="BM18" i="5"/>
  <c r="BN18" i="5"/>
  <c r="CB19" i="5"/>
  <c r="BP19" i="5"/>
  <c r="BD19" i="5"/>
  <c r="BQ19" i="5"/>
  <c r="BE19" i="5"/>
  <c r="BF19" i="5"/>
  <c r="BG19" i="5"/>
  <c r="BH19" i="5"/>
  <c r="BI19" i="5"/>
  <c r="BJ19" i="5"/>
  <c r="BK19" i="5"/>
  <c r="BL19" i="5"/>
  <c r="BM19" i="5"/>
  <c r="BN19" i="5"/>
  <c r="B2" i="21"/>
  <c r="H59" i="19"/>
  <c r="R68" i="19"/>
  <c r="I59" i="19"/>
  <c r="S68" i="19"/>
  <c r="J59" i="19"/>
  <c r="T68" i="19"/>
  <c r="C59" i="19"/>
  <c r="M68" i="19"/>
  <c r="D59" i="19"/>
  <c r="N68" i="19"/>
  <c r="E59" i="19"/>
  <c r="O68" i="19"/>
  <c r="F59" i="19"/>
  <c r="P68" i="19"/>
  <c r="G59" i="19"/>
  <c r="Q68" i="19"/>
  <c r="J41" i="19"/>
  <c r="C41" i="19"/>
  <c r="D41" i="19"/>
  <c r="E41" i="19"/>
  <c r="F41" i="19"/>
  <c r="G41" i="19"/>
  <c r="H41" i="19"/>
  <c r="I41" i="19"/>
  <c r="B41" i="19"/>
  <c r="M59" i="19"/>
  <c r="C20" i="19"/>
  <c r="B17" i="19"/>
  <c r="AN18" i="20"/>
  <c r="J35" i="20"/>
  <c r="AM8" i="20"/>
  <c r="AN8" i="20"/>
  <c r="J34" i="20"/>
  <c r="AN19" i="20"/>
  <c r="J33" i="20"/>
  <c r="AM19" i="20"/>
  <c r="J32" i="20"/>
  <c r="AJ18" i="20"/>
  <c r="I35" i="20"/>
  <c r="AI8" i="20"/>
  <c r="AJ8" i="20"/>
  <c r="I34" i="20"/>
  <c r="AJ19" i="20"/>
  <c r="I33" i="20"/>
  <c r="AI19" i="20"/>
  <c r="I32" i="20"/>
  <c r="AF18" i="20"/>
  <c r="H35" i="20"/>
  <c r="AE8" i="20"/>
  <c r="AF8" i="20"/>
  <c r="H34" i="20"/>
  <c r="AF19" i="20"/>
  <c r="H33" i="20"/>
  <c r="AE19" i="20"/>
  <c r="H32" i="20"/>
  <c r="AB18" i="20"/>
  <c r="G35" i="20"/>
  <c r="AA8" i="20"/>
  <c r="AB8" i="20"/>
  <c r="G34" i="20"/>
  <c r="AB19" i="20"/>
  <c r="G33" i="20"/>
  <c r="AA19" i="20"/>
  <c r="G32" i="20"/>
  <c r="X18" i="20"/>
  <c r="F35" i="20"/>
  <c r="W8" i="20"/>
  <c r="X8" i="20"/>
  <c r="F34" i="20"/>
  <c r="X19" i="20"/>
  <c r="F33" i="20"/>
  <c r="W19" i="20"/>
  <c r="F32" i="20"/>
  <c r="T18" i="20"/>
  <c r="E35" i="20"/>
  <c r="S8" i="20"/>
  <c r="T8" i="20"/>
  <c r="E34" i="20"/>
  <c r="T19" i="20"/>
  <c r="E33" i="20"/>
  <c r="S19" i="20"/>
  <c r="E32" i="20"/>
  <c r="D33" i="20"/>
  <c r="D35" i="20"/>
  <c r="D34" i="20"/>
  <c r="D32" i="20"/>
  <c r="C35" i="20"/>
  <c r="C34" i="20"/>
  <c r="C33" i="20"/>
  <c r="C32" i="20"/>
  <c r="F18" i="20"/>
  <c r="B37" i="20"/>
  <c r="B33" i="20"/>
  <c r="B32" i="20"/>
  <c r="D8" i="20"/>
  <c r="D18" i="20"/>
  <c r="D19" i="20"/>
  <c r="G4" i="20"/>
  <c r="G5" i="20"/>
  <c r="G6" i="20"/>
  <c r="G8" i="20"/>
  <c r="G18" i="20"/>
  <c r="G19" i="20"/>
  <c r="H10" i="20"/>
  <c r="H11" i="20"/>
  <c r="H12" i="20"/>
  <c r="H13" i="20"/>
  <c r="H14" i="20"/>
  <c r="H15" i="20"/>
  <c r="H16" i="20"/>
  <c r="H17" i="20"/>
  <c r="H18" i="20"/>
  <c r="B35" i="20"/>
  <c r="H7" i="20"/>
  <c r="H8" i="20"/>
  <c r="H19" i="20"/>
  <c r="J4" i="20"/>
  <c r="K4" i="20"/>
  <c r="J5" i="20"/>
  <c r="K5" i="20"/>
  <c r="J6" i="20"/>
  <c r="K6" i="20"/>
  <c r="K8" i="20"/>
  <c r="K18" i="20"/>
  <c r="K19" i="20"/>
  <c r="N4" i="20"/>
  <c r="O4" i="20"/>
  <c r="N5" i="20"/>
  <c r="O5" i="20"/>
  <c r="N6" i="20"/>
  <c r="O6" i="20"/>
  <c r="O8" i="20"/>
  <c r="J7" i="20"/>
  <c r="L7" i="20"/>
  <c r="L8" i="20"/>
  <c r="J10" i="20"/>
  <c r="L10" i="20"/>
  <c r="J11" i="20"/>
  <c r="L11" i="20"/>
  <c r="J12" i="20"/>
  <c r="L12" i="20"/>
  <c r="J13" i="20"/>
  <c r="L13" i="20"/>
  <c r="J14" i="20"/>
  <c r="L14" i="20"/>
  <c r="J15" i="20"/>
  <c r="L15" i="20"/>
  <c r="J16" i="20"/>
  <c r="L16" i="20"/>
  <c r="J17" i="20"/>
  <c r="L17" i="20"/>
  <c r="L18" i="20"/>
  <c r="L19" i="20"/>
  <c r="J8" i="20"/>
  <c r="C37" i="20"/>
  <c r="C42" i="20"/>
  <c r="J18" i="20"/>
  <c r="C39" i="20"/>
  <c r="C43" i="20"/>
  <c r="C41" i="20"/>
  <c r="C45" i="20"/>
  <c r="N7" i="20"/>
  <c r="N8" i="20"/>
  <c r="D37" i="20"/>
  <c r="D42" i="20"/>
  <c r="N10" i="20"/>
  <c r="N11" i="20"/>
  <c r="N12" i="20"/>
  <c r="N13" i="20"/>
  <c r="N14" i="20"/>
  <c r="N15" i="20"/>
  <c r="N16" i="20"/>
  <c r="N17" i="20"/>
  <c r="N18" i="20"/>
  <c r="D39" i="20"/>
  <c r="O18" i="20"/>
  <c r="D43" i="20"/>
  <c r="D41" i="20"/>
  <c r="D45" i="20"/>
  <c r="R8" i="20"/>
  <c r="E37" i="20"/>
  <c r="E42" i="20"/>
  <c r="R18" i="20"/>
  <c r="R19" i="20"/>
  <c r="E39" i="20"/>
  <c r="S18" i="20"/>
  <c r="E43" i="20"/>
  <c r="E41" i="20"/>
  <c r="E45" i="20"/>
  <c r="F37" i="20"/>
  <c r="E38" i="20"/>
  <c r="F38" i="20"/>
  <c r="F42" i="20"/>
  <c r="F39" i="20"/>
  <c r="F43" i="20"/>
  <c r="F41" i="20"/>
  <c r="F45" i="20"/>
  <c r="G37" i="20"/>
  <c r="G38" i="20"/>
  <c r="G42" i="20"/>
  <c r="G39" i="20"/>
  <c r="G43" i="20"/>
  <c r="G41" i="20"/>
  <c r="G45" i="20"/>
  <c r="H37" i="20"/>
  <c r="H38" i="20"/>
  <c r="H42" i="20"/>
  <c r="H39" i="20"/>
  <c r="H43" i="20"/>
  <c r="H41" i="20"/>
  <c r="H45" i="20"/>
  <c r="I37" i="20"/>
  <c r="I38" i="20"/>
  <c r="I42" i="20"/>
  <c r="I39" i="20"/>
  <c r="I43" i="20"/>
  <c r="I41" i="20"/>
  <c r="I45" i="20"/>
  <c r="J37" i="20"/>
  <c r="J38" i="20"/>
  <c r="J42" i="20"/>
  <c r="J39" i="20"/>
  <c r="J43" i="20"/>
  <c r="J41" i="20"/>
  <c r="J45" i="20"/>
  <c r="F10" i="20"/>
  <c r="F11" i="20"/>
  <c r="F12" i="20"/>
  <c r="F13" i="20"/>
  <c r="F14" i="20"/>
  <c r="F15" i="20"/>
  <c r="F16" i="20"/>
  <c r="F17" i="20"/>
  <c r="B39" i="20"/>
  <c r="B43" i="20"/>
  <c r="F4" i="20"/>
  <c r="F5" i="20"/>
  <c r="F6" i="20"/>
  <c r="F7" i="20"/>
  <c r="F8" i="20"/>
  <c r="B34" i="20"/>
  <c r="B42" i="20"/>
  <c r="B41" i="20"/>
  <c r="B45" i="20"/>
  <c r="B38" i="20"/>
  <c r="C23" i="20"/>
  <c r="C24" i="20"/>
  <c r="I4" i="20"/>
  <c r="I5" i="20"/>
  <c r="I6" i="20"/>
  <c r="I7" i="20"/>
  <c r="I8" i="20"/>
  <c r="M4" i="20"/>
  <c r="M5" i="20"/>
  <c r="M6" i="20"/>
  <c r="M7" i="20"/>
  <c r="M8" i="20"/>
  <c r="P7" i="20"/>
  <c r="P8" i="20"/>
  <c r="Q4" i="20"/>
  <c r="Q5" i="20"/>
  <c r="Q6" i="20"/>
  <c r="Q7" i="20"/>
  <c r="Q8" i="20"/>
  <c r="V8" i="20"/>
  <c r="Z8" i="20"/>
  <c r="AD8" i="20"/>
  <c r="AH8" i="20"/>
  <c r="AL8" i="20"/>
  <c r="C8" i="20"/>
  <c r="I10" i="20"/>
  <c r="I11" i="20"/>
  <c r="I12" i="20"/>
  <c r="I13" i="20"/>
  <c r="I14" i="20"/>
  <c r="I15" i="20"/>
  <c r="I16" i="20"/>
  <c r="I17" i="20"/>
  <c r="I18" i="20"/>
  <c r="M10" i="20"/>
  <c r="M11" i="20"/>
  <c r="M12" i="20"/>
  <c r="M13" i="20"/>
  <c r="M14" i="20"/>
  <c r="M15" i="20"/>
  <c r="M16" i="20"/>
  <c r="M17" i="20"/>
  <c r="M18" i="20"/>
  <c r="P10" i="20"/>
  <c r="P11" i="20"/>
  <c r="P12" i="20"/>
  <c r="P13" i="20"/>
  <c r="P14" i="20"/>
  <c r="P15" i="20"/>
  <c r="P16" i="20"/>
  <c r="P17" i="20"/>
  <c r="P18" i="20"/>
  <c r="Q10" i="20"/>
  <c r="Q11" i="20"/>
  <c r="Q12" i="20"/>
  <c r="Q13" i="20"/>
  <c r="Q14" i="20"/>
  <c r="Q15" i="20"/>
  <c r="Q16" i="20"/>
  <c r="Q17" i="20"/>
  <c r="Q18" i="20"/>
  <c r="V18" i="20"/>
  <c r="W18" i="20"/>
  <c r="Z18" i="20"/>
  <c r="AA18" i="20"/>
  <c r="AD18" i="20"/>
  <c r="AE18" i="20"/>
  <c r="AH18" i="20"/>
  <c r="AI18" i="20"/>
  <c r="AL18" i="20"/>
  <c r="AM18" i="20"/>
  <c r="E8" i="20"/>
  <c r="E18" i="20"/>
  <c r="E19" i="20"/>
  <c r="F19" i="20"/>
  <c r="I19" i="20"/>
  <c r="J19" i="20"/>
  <c r="M19" i="20"/>
  <c r="N19" i="20"/>
  <c r="O19" i="20"/>
  <c r="P19" i="20"/>
  <c r="Q19" i="20"/>
  <c r="U19" i="20"/>
  <c r="V19" i="20"/>
  <c r="Y19" i="20"/>
  <c r="Z19" i="20"/>
  <c r="AC19" i="20"/>
  <c r="AD19" i="20"/>
  <c r="AG19" i="20"/>
  <c r="AH19" i="20"/>
  <c r="AK19" i="20"/>
  <c r="AL19" i="20"/>
  <c r="AO19" i="20"/>
  <c r="C18" i="20"/>
  <c r="C19" i="20"/>
  <c r="C153" i="19"/>
  <c r="D153" i="19"/>
  <c r="E153" i="19"/>
  <c r="N59" i="19"/>
  <c r="O59" i="19"/>
  <c r="P59" i="19"/>
  <c r="Q59" i="19"/>
  <c r="R59" i="19"/>
  <c r="S59" i="19"/>
  <c r="T59" i="19"/>
  <c r="E113" i="19"/>
  <c r="D113" i="19"/>
  <c r="B146" i="19"/>
  <c r="L9" i="5"/>
  <c r="M9" i="5"/>
  <c r="N9" i="5"/>
  <c r="K105" i="19"/>
  <c r="D35" i="8"/>
  <c r="A38" i="8"/>
  <c r="C19" i="8"/>
  <c r="D19" i="8"/>
  <c r="E19" i="8"/>
  <c r="F19" i="8"/>
  <c r="G19" i="8"/>
  <c r="H19" i="8"/>
  <c r="I19" i="8"/>
  <c r="J19" i="8"/>
  <c r="C20" i="8"/>
  <c r="D20" i="8"/>
  <c r="E20" i="8"/>
  <c r="F20" i="8"/>
  <c r="G20" i="8"/>
  <c r="H20" i="8"/>
  <c r="I20" i="8"/>
  <c r="J20" i="8"/>
  <c r="C21" i="8"/>
  <c r="D21" i="8"/>
  <c r="E21" i="8"/>
  <c r="F21" i="8"/>
  <c r="G21" i="8"/>
  <c r="H21" i="8"/>
  <c r="I21" i="8"/>
  <c r="J21" i="8"/>
  <c r="C22" i="8"/>
  <c r="D22" i="8"/>
  <c r="E22" i="8"/>
  <c r="F22" i="8"/>
  <c r="G22" i="8"/>
  <c r="H22" i="8"/>
  <c r="I22" i="8"/>
  <c r="J22" i="8"/>
  <c r="C23" i="8"/>
  <c r="D23" i="8"/>
  <c r="E23" i="8"/>
  <c r="F23" i="8"/>
  <c r="G23" i="8"/>
  <c r="H23" i="8"/>
  <c r="I23" i="8"/>
  <c r="J23" i="8"/>
  <c r="B20" i="8"/>
  <c r="B21" i="8"/>
  <c r="B22" i="8"/>
  <c r="B23" i="8"/>
  <c r="A37" i="8"/>
  <c r="A35" i="8"/>
  <c r="A36" i="8"/>
  <c r="A20" i="8"/>
  <c r="A21" i="8"/>
  <c r="A22" i="8"/>
  <c r="A23" i="8"/>
  <c r="B113" i="19"/>
  <c r="F113" i="19"/>
  <c r="G113" i="19"/>
  <c r="H113" i="19"/>
  <c r="B19" i="19"/>
  <c r="AO13" i="5"/>
  <c r="AC13" i="5"/>
  <c r="E16" i="15"/>
  <c r="BB13" i="5"/>
  <c r="I88" i="19"/>
  <c r="B160" i="19"/>
  <c r="B18" i="3"/>
  <c r="C5" i="16"/>
  <c r="H16" i="15"/>
  <c r="K16" i="15"/>
  <c r="G147" i="21"/>
  <c r="G135" i="21"/>
  <c r="G123" i="21"/>
  <c r="G111" i="21"/>
  <c r="G99" i="21"/>
  <c r="G87" i="21"/>
  <c r="G75" i="21"/>
  <c r="G63" i="21"/>
  <c r="G39" i="21"/>
  <c r="G171" i="21"/>
  <c r="G159" i="21"/>
  <c r="D12" i="15"/>
  <c r="E12" i="15"/>
  <c r="F12" i="15"/>
  <c r="G12" i="15"/>
  <c r="H12" i="15"/>
  <c r="I12" i="15"/>
  <c r="J12" i="15"/>
  <c r="K12" i="15"/>
  <c r="AB9" i="5"/>
  <c r="P9" i="5"/>
  <c r="P11" i="5"/>
  <c r="BO13" i="5"/>
  <c r="BO14" i="5"/>
  <c r="CO13" i="5"/>
  <c r="CO14" i="5"/>
  <c r="CO19" i="5"/>
  <c r="DB13" i="5"/>
  <c r="DB14" i="5"/>
  <c r="DO13" i="5"/>
  <c r="DO14" i="5"/>
  <c r="DO19" i="5"/>
  <c r="DC19" i="5"/>
  <c r="DD19" i="5"/>
  <c r="BQ24" i="5"/>
  <c r="BR24" i="5"/>
  <c r="BS24" i="5"/>
  <c r="BT24" i="5"/>
  <c r="C26" i="5"/>
  <c r="D25" i="5"/>
  <c r="D26" i="5"/>
  <c r="E25" i="5"/>
  <c r="E26" i="5"/>
  <c r="F25" i="5"/>
  <c r="F26" i="5"/>
  <c r="G25" i="5"/>
  <c r="G26" i="5"/>
  <c r="H25" i="5"/>
  <c r="H26" i="5"/>
  <c r="I25" i="5"/>
  <c r="C19" i="5"/>
  <c r="C22" i="5"/>
  <c r="D21" i="5"/>
  <c r="S24" i="5"/>
  <c r="S28" i="5"/>
  <c r="T24" i="5"/>
  <c r="C23" i="5"/>
  <c r="D23" i="5"/>
  <c r="E23" i="5"/>
  <c r="F23" i="5"/>
  <c r="G23" i="5"/>
  <c r="B28" i="5"/>
  <c r="N28" i="5"/>
  <c r="P24" i="5"/>
  <c r="P28" i="5"/>
  <c r="D28" i="5"/>
  <c r="Q28" i="5"/>
  <c r="R28" i="5"/>
  <c r="C28" i="5"/>
  <c r="B40" i="5"/>
  <c r="D4" i="5"/>
  <c r="E4" i="5"/>
  <c r="F4" i="5"/>
  <c r="G4" i="5"/>
  <c r="E5" i="5"/>
  <c r="F5" i="5"/>
  <c r="G5" i="5"/>
  <c r="G19" i="5"/>
  <c r="G20" i="5"/>
  <c r="F20" i="5"/>
  <c r="E20" i="5"/>
  <c r="D20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AB28" i="5"/>
  <c r="AC28" i="5"/>
  <c r="AD24" i="5"/>
  <c r="AO28" i="5"/>
  <c r="DC28" i="5"/>
  <c r="DD24" i="5"/>
  <c r="DE24" i="5"/>
  <c r="DE28" i="5"/>
  <c r="CP28" i="5"/>
  <c r="CQ24" i="5"/>
  <c r="CC28" i="5"/>
  <c r="CD24" i="5"/>
  <c r="BP28" i="5"/>
  <c r="BQ28" i="5"/>
  <c r="DC18" i="5"/>
  <c r="DD18" i="5"/>
  <c r="DC17" i="5"/>
  <c r="DD17" i="5"/>
  <c r="DC16" i="5"/>
  <c r="DD16" i="5"/>
  <c r="DC15" i="5"/>
  <c r="DD15" i="5"/>
  <c r="DC14" i="5"/>
  <c r="DD14" i="5"/>
  <c r="DC13" i="5"/>
  <c r="DD13" i="5"/>
  <c r="DC12" i="5"/>
  <c r="DD12" i="5"/>
  <c r="DC11" i="5"/>
  <c r="DD11" i="5"/>
  <c r="DC10" i="5"/>
  <c r="DD10" i="5"/>
  <c r="DC9" i="5"/>
  <c r="DD9" i="5"/>
  <c r="CP18" i="5"/>
  <c r="CQ18" i="5"/>
  <c r="CP17" i="5"/>
  <c r="CQ17" i="5"/>
  <c r="CP16" i="5"/>
  <c r="CQ16" i="5"/>
  <c r="CP15" i="5"/>
  <c r="CQ15" i="5"/>
  <c r="CP14" i="5"/>
  <c r="CQ14" i="5"/>
  <c r="CP12" i="5"/>
  <c r="CQ12" i="5"/>
  <c r="CP11" i="5"/>
  <c r="CQ11" i="5"/>
  <c r="CP10" i="5"/>
  <c r="CQ10" i="5"/>
  <c r="CP9" i="5"/>
  <c r="CQ9" i="5"/>
  <c r="CC19" i="5"/>
  <c r="CD19" i="5"/>
  <c r="CC18" i="5"/>
  <c r="CD18" i="5"/>
  <c r="CC17" i="5"/>
  <c r="CD17" i="5"/>
  <c r="CC16" i="5"/>
  <c r="CD16" i="5"/>
  <c r="CC15" i="5"/>
  <c r="CD15" i="5"/>
  <c r="CC14" i="5"/>
  <c r="CD14" i="5"/>
  <c r="CC13" i="5"/>
  <c r="CD13" i="5"/>
  <c r="CC12" i="5"/>
  <c r="CD12" i="5"/>
  <c r="CC11" i="5"/>
  <c r="CD11" i="5"/>
  <c r="CC10" i="5"/>
  <c r="CD10" i="5"/>
  <c r="CC9" i="5"/>
  <c r="CD9" i="5"/>
  <c r="BD24" i="5"/>
  <c r="BC11" i="5"/>
  <c r="BC28" i="5"/>
  <c r="BC9" i="5"/>
  <c r="BC10" i="5"/>
  <c r="BC12" i="5"/>
  <c r="BC14" i="5"/>
  <c r="BC15" i="5"/>
  <c r="BC16" i="5"/>
  <c r="BC17" i="5"/>
  <c r="BC18" i="5"/>
  <c r="H132" i="19"/>
  <c r="A33" i="8"/>
  <c r="A34" i="8"/>
  <c r="A24" i="8"/>
  <c r="A19" i="8"/>
  <c r="AP18" i="5"/>
  <c r="AQ18" i="5"/>
  <c r="AR18" i="5"/>
  <c r="AS18" i="5"/>
  <c r="AT18" i="5"/>
  <c r="AU18" i="5"/>
  <c r="AV18" i="5"/>
  <c r="AW18" i="5"/>
  <c r="AX18" i="5"/>
  <c r="AY18" i="5"/>
  <c r="AZ18" i="5"/>
  <c r="BA18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AP9" i="5"/>
  <c r="AQ9" i="5"/>
  <c r="AR9" i="5"/>
  <c r="AS9" i="5"/>
  <c r="AT9" i="5"/>
  <c r="AU9" i="5"/>
  <c r="AV9" i="5"/>
  <c r="AW9" i="5"/>
  <c r="AX9" i="5"/>
  <c r="AY9" i="5"/>
  <c r="AZ9" i="5"/>
  <c r="BA9" i="5"/>
  <c r="R9" i="5"/>
  <c r="S9" i="5"/>
  <c r="T9" i="5"/>
  <c r="U9" i="5"/>
  <c r="V9" i="5"/>
  <c r="W9" i="5"/>
  <c r="X9" i="5"/>
  <c r="Y9" i="5"/>
  <c r="Z9" i="5"/>
  <c r="AA9" i="5"/>
  <c r="A52" i="8"/>
  <c r="A53" i="8"/>
  <c r="A18" i="8"/>
  <c r="F28" i="5"/>
  <c r="K28" i="5"/>
  <c r="H28" i="5"/>
  <c r="E28" i="5"/>
  <c r="G28" i="5"/>
  <c r="I28" i="5"/>
  <c r="J28" i="5"/>
  <c r="L28" i="5"/>
  <c r="M28" i="5"/>
  <c r="O21" i="5"/>
  <c r="C4" i="3"/>
  <c r="O17" i="5"/>
  <c r="O18" i="5"/>
  <c r="R11" i="5"/>
  <c r="S11" i="5"/>
  <c r="T11" i="5"/>
  <c r="U11" i="5"/>
  <c r="V11" i="5"/>
  <c r="W11" i="5"/>
  <c r="X11" i="5"/>
  <c r="Y11" i="5"/>
  <c r="Z11" i="5"/>
  <c r="AA11" i="5"/>
  <c r="P10" i="5"/>
  <c r="Q10" i="5"/>
  <c r="R10" i="5"/>
  <c r="S10" i="5"/>
  <c r="T10" i="5"/>
  <c r="U10" i="5"/>
  <c r="V10" i="5"/>
  <c r="W10" i="5"/>
  <c r="X10" i="5"/>
  <c r="Y10" i="5"/>
  <c r="Z10" i="5"/>
  <c r="AA10" i="5"/>
  <c r="P12" i="5"/>
  <c r="Q12" i="5"/>
  <c r="R12" i="5"/>
  <c r="S12" i="5"/>
  <c r="T12" i="5"/>
  <c r="U12" i="5"/>
  <c r="V12" i="5"/>
  <c r="W12" i="5"/>
  <c r="X12" i="5"/>
  <c r="Y12" i="5"/>
  <c r="Z12" i="5"/>
  <c r="AA12" i="5"/>
  <c r="P18" i="5"/>
  <c r="Q18" i="5"/>
  <c r="R18" i="5"/>
  <c r="S18" i="5"/>
  <c r="T18" i="5"/>
  <c r="U18" i="5"/>
  <c r="V18" i="5"/>
  <c r="W18" i="5"/>
  <c r="X18" i="5"/>
  <c r="Y18" i="5"/>
  <c r="Z18" i="5"/>
  <c r="AA18" i="5"/>
  <c r="P17" i="5"/>
  <c r="Q17" i="5"/>
  <c r="R17" i="5"/>
  <c r="S17" i="5"/>
  <c r="T17" i="5"/>
  <c r="U17" i="5"/>
  <c r="V17" i="5"/>
  <c r="W17" i="5"/>
  <c r="X17" i="5"/>
  <c r="Y17" i="5"/>
  <c r="Z17" i="5"/>
  <c r="AA17" i="5"/>
  <c r="P15" i="5"/>
  <c r="Q15" i="5"/>
  <c r="R15" i="5"/>
  <c r="S15" i="5"/>
  <c r="T15" i="5"/>
  <c r="U15" i="5"/>
  <c r="V15" i="5"/>
  <c r="W15" i="5"/>
  <c r="X15" i="5"/>
  <c r="Y15" i="5"/>
  <c r="Z15" i="5"/>
  <c r="AA15" i="5"/>
  <c r="P16" i="5"/>
  <c r="Q16" i="5"/>
  <c r="R16" i="5"/>
  <c r="S16" i="5"/>
  <c r="T16" i="5"/>
  <c r="U16" i="5"/>
  <c r="V16" i="5"/>
  <c r="W16" i="5"/>
  <c r="X16" i="5"/>
  <c r="Y16" i="5"/>
  <c r="Z16" i="5"/>
  <c r="AA16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C9" i="5"/>
  <c r="AD9" i="5"/>
  <c r="AE9" i="5"/>
  <c r="AF9" i="5"/>
  <c r="AG9" i="5"/>
  <c r="AH9" i="5"/>
  <c r="AI9" i="5"/>
  <c r="AJ9" i="5"/>
  <c r="AK9" i="5"/>
  <c r="AL9" i="5"/>
  <c r="AM9" i="5"/>
  <c r="AN9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G29" i="5"/>
  <c r="I21" i="5"/>
  <c r="J21" i="5"/>
  <c r="CR24" i="5"/>
  <c r="CQ28" i="5"/>
  <c r="CE24" i="5"/>
  <c r="CE28" i="5"/>
  <c r="CD28" i="5"/>
  <c r="DD28" i="5"/>
  <c r="BB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AB14" i="5"/>
  <c r="AO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I113" i="19"/>
  <c r="DF24" i="5"/>
  <c r="DG24" i="5"/>
  <c r="DH24" i="5"/>
  <c r="DH28" i="5"/>
  <c r="AO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D13" i="5"/>
  <c r="AE13" i="5"/>
  <c r="AF13" i="5"/>
  <c r="AG13" i="5"/>
  <c r="AH13" i="5"/>
  <c r="AI13" i="5"/>
  <c r="AJ13" i="5"/>
  <c r="AK13" i="5"/>
  <c r="AL13" i="5"/>
  <c r="AM13" i="5"/>
  <c r="AN13" i="5"/>
  <c r="P14" i="5"/>
  <c r="Q14" i="5"/>
  <c r="R14" i="5"/>
  <c r="S14" i="5"/>
  <c r="T14" i="5"/>
  <c r="U14" i="5"/>
  <c r="V14" i="5"/>
  <c r="W14" i="5"/>
  <c r="X14" i="5"/>
  <c r="Y14" i="5"/>
  <c r="Z14" i="5"/>
  <c r="AA14" i="5"/>
  <c r="CF24" i="5"/>
  <c r="CF28" i="5"/>
  <c r="DF28" i="5"/>
  <c r="DG28" i="5"/>
  <c r="L20" i="8"/>
  <c r="L21" i="8"/>
  <c r="B19" i="8"/>
  <c r="L19" i="8"/>
  <c r="K23" i="5"/>
  <c r="C12" i="15"/>
  <c r="BB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C10" i="3"/>
  <c r="C11" i="3"/>
  <c r="B21" i="3"/>
  <c r="DI24" i="5"/>
  <c r="CG24" i="5"/>
  <c r="BR28" i="5"/>
  <c r="AB11" i="5"/>
  <c r="J16" i="15"/>
  <c r="D38" i="20"/>
  <c r="L11" i="5"/>
  <c r="D5" i="16"/>
  <c r="E5" i="16"/>
  <c r="F5" i="16"/>
  <c r="G5" i="16"/>
  <c r="H5" i="16"/>
  <c r="I5" i="16"/>
  <c r="J5" i="16"/>
  <c r="K5" i="16"/>
  <c r="I16" i="15"/>
  <c r="D22" i="5"/>
  <c r="E29" i="5"/>
  <c r="F16" i="15"/>
  <c r="C20" i="5"/>
  <c r="F146" i="19"/>
  <c r="F147" i="19"/>
  <c r="G16" i="15"/>
  <c r="C38" i="20"/>
  <c r="L24" i="8"/>
  <c r="B20" i="19"/>
  <c r="CH24" i="5"/>
  <c r="CG28" i="5"/>
  <c r="CS24" i="5"/>
  <c r="CR28" i="5"/>
  <c r="A54" i="8"/>
  <c r="BU24" i="5"/>
  <c r="BT28" i="5"/>
  <c r="U24" i="5"/>
  <c r="T28" i="5"/>
  <c r="BS28" i="5"/>
  <c r="F29" i="5"/>
  <c r="DB19" i="5"/>
  <c r="CP19" i="5"/>
  <c r="CQ19" i="5"/>
  <c r="CP13" i="5"/>
  <c r="CQ13" i="5"/>
  <c r="M19" i="5"/>
  <c r="K19" i="5"/>
  <c r="K20" i="5"/>
  <c r="BE24" i="5"/>
  <c r="BD28" i="5"/>
  <c r="C29" i="5"/>
  <c r="D29" i="5"/>
  <c r="AD28" i="5"/>
  <c r="AE24" i="5"/>
  <c r="I26" i="5"/>
  <c r="J25" i="5"/>
  <c r="H23" i="5"/>
  <c r="BC13" i="5"/>
  <c r="BO19" i="5"/>
  <c r="BC19" i="5"/>
  <c r="D16" i="15"/>
  <c r="AB13" i="5"/>
  <c r="C32" i="5"/>
  <c r="K104" i="19"/>
  <c r="K91" i="19"/>
  <c r="C27" i="5"/>
  <c r="D37" i="8"/>
  <c r="DI28" i="5"/>
  <c r="DJ24" i="5"/>
  <c r="D34" i="8"/>
  <c r="E22" i="5"/>
  <c r="E21" i="5"/>
  <c r="D27" i="5"/>
  <c r="E27" i="5"/>
  <c r="F27" i="5"/>
  <c r="G27" i="5"/>
  <c r="H27" i="5"/>
  <c r="I27" i="5"/>
  <c r="P13" i="5"/>
  <c r="Q13" i="5"/>
  <c r="R13" i="5"/>
  <c r="S13" i="5"/>
  <c r="T13" i="5"/>
  <c r="U13" i="5"/>
  <c r="V13" i="5"/>
  <c r="W13" i="5"/>
  <c r="X13" i="5"/>
  <c r="Y13" i="5"/>
  <c r="Z13" i="5"/>
  <c r="AA13" i="5"/>
  <c r="AB19" i="5"/>
  <c r="P19" i="5"/>
  <c r="Q19" i="5"/>
  <c r="R19" i="5"/>
  <c r="S19" i="5"/>
  <c r="T19" i="5"/>
  <c r="U19" i="5"/>
  <c r="V19" i="5"/>
  <c r="W19" i="5"/>
  <c r="X19" i="5"/>
  <c r="Y19" i="5"/>
  <c r="Z19" i="5"/>
  <c r="AA19" i="5"/>
  <c r="BE28" i="5"/>
  <c r="BF24" i="5"/>
  <c r="BV24" i="5"/>
  <c r="BU28" i="5"/>
  <c r="A55" i="8"/>
  <c r="D32" i="5"/>
  <c r="E32" i="5"/>
  <c r="F32" i="5"/>
  <c r="G32" i="5"/>
  <c r="H32" i="5"/>
  <c r="I32" i="5"/>
  <c r="J32" i="5"/>
  <c r="K32" i="5"/>
  <c r="L32" i="5"/>
  <c r="M32" i="5"/>
  <c r="N32" i="5"/>
  <c r="H29" i="5"/>
  <c r="V24" i="5"/>
  <c r="U28" i="5"/>
  <c r="CH28" i="5"/>
  <c r="CI24" i="5"/>
  <c r="AE28" i="5"/>
  <c r="AF24" i="5"/>
  <c r="K92" i="19"/>
  <c r="I23" i="5"/>
  <c r="CS28" i="5"/>
  <c r="CT24" i="5"/>
  <c r="E35" i="8"/>
  <c r="L35" i="8"/>
  <c r="E34" i="8"/>
  <c r="L34" i="8"/>
  <c r="F21" i="5"/>
  <c r="F22" i="5"/>
  <c r="DJ28" i="5"/>
  <c r="DK24" i="5"/>
  <c r="V28" i="5"/>
  <c r="W24" i="5"/>
  <c r="I29" i="5"/>
  <c r="C123" i="19"/>
  <c r="BV28" i="5"/>
  <c r="BW24" i="5"/>
  <c r="J23" i="5"/>
  <c r="K29" i="5"/>
  <c r="J20" i="5"/>
  <c r="J22" i="5"/>
  <c r="AF28" i="5"/>
  <c r="AG24" i="5"/>
  <c r="BG24" i="5"/>
  <c r="BF28" i="5"/>
  <c r="L120" i="19"/>
  <c r="B6" i="8"/>
  <c r="CI28" i="5"/>
  <c r="CJ24" i="5"/>
  <c r="J26" i="5"/>
  <c r="K25" i="5"/>
  <c r="K26" i="5"/>
  <c r="L25" i="5"/>
  <c r="D20" i="19"/>
  <c r="E37" i="8"/>
  <c r="A56" i="8"/>
  <c r="L37" i="8"/>
  <c r="M120" i="19"/>
  <c r="C6" i="8"/>
  <c r="CT28" i="5"/>
  <c r="CU24" i="5"/>
  <c r="D123" i="19"/>
  <c r="N120" i="19"/>
  <c r="D6" i="8"/>
  <c r="C120" i="19"/>
  <c r="DL24" i="5"/>
  <c r="DK28" i="5"/>
  <c r="F34" i="8"/>
  <c r="F35" i="8"/>
  <c r="G22" i="5"/>
  <c r="H21" i="5"/>
  <c r="G21" i="5"/>
  <c r="P5" i="5"/>
  <c r="Q5" i="5"/>
  <c r="R5" i="5"/>
  <c r="S5" i="5"/>
  <c r="T5" i="5"/>
  <c r="U5" i="5"/>
  <c r="V5" i="5"/>
  <c r="W5" i="5"/>
  <c r="X5" i="5"/>
  <c r="Y5" i="5"/>
  <c r="Z5" i="5"/>
  <c r="AA5" i="5"/>
  <c r="A57" i="8"/>
  <c r="M114" i="19"/>
  <c r="M117" i="19"/>
  <c r="M119" i="19"/>
  <c r="C5" i="8"/>
  <c r="AG28" i="5"/>
  <c r="AH24" i="5"/>
  <c r="E20" i="19"/>
  <c r="J27" i="5"/>
  <c r="E51" i="8"/>
  <c r="AC5" i="5"/>
  <c r="AD5" i="5"/>
  <c r="AE5" i="5"/>
  <c r="AF5" i="5"/>
  <c r="AG5" i="5"/>
  <c r="AH5" i="5"/>
  <c r="AI5" i="5"/>
  <c r="AJ5" i="5"/>
  <c r="AK5" i="5"/>
  <c r="AL5" i="5"/>
  <c r="AM5" i="5"/>
  <c r="AN5" i="5"/>
  <c r="X24" i="5"/>
  <c r="W28" i="5"/>
  <c r="B120" i="19"/>
  <c r="K21" i="5"/>
  <c r="K22" i="5"/>
  <c r="L21" i="5"/>
  <c r="C154" i="19"/>
  <c r="D154" i="19"/>
  <c r="B4" i="8"/>
  <c r="L119" i="19"/>
  <c r="B5" i="8"/>
  <c r="L114" i="19"/>
  <c r="L117" i="19"/>
  <c r="CK24" i="5"/>
  <c r="CJ28" i="5"/>
  <c r="J29" i="5"/>
  <c r="B123" i="19"/>
  <c r="D120" i="19"/>
  <c r="P4" i="5"/>
  <c r="Q4" i="5"/>
  <c r="R4" i="5"/>
  <c r="S4" i="5"/>
  <c r="T4" i="5"/>
  <c r="U4" i="5"/>
  <c r="V4" i="5"/>
  <c r="W4" i="5"/>
  <c r="X4" i="5"/>
  <c r="Y4" i="5"/>
  <c r="Z4" i="5"/>
  <c r="AA4" i="5"/>
  <c r="F37" i="8"/>
  <c r="BH24" i="5"/>
  <c r="BG28" i="5"/>
  <c r="BX24" i="5"/>
  <c r="BW28" i="5"/>
  <c r="D38" i="8"/>
  <c r="D36" i="8"/>
  <c r="CV24" i="5"/>
  <c r="CU28" i="5"/>
  <c r="G35" i="8"/>
  <c r="G34" i="8"/>
  <c r="DM24" i="5"/>
  <c r="DL28" i="5"/>
  <c r="O120" i="19"/>
  <c r="E6" i="8"/>
  <c r="E123" i="19"/>
  <c r="F123" i="19"/>
  <c r="AC4" i="5"/>
  <c r="AD4" i="5"/>
  <c r="AE4" i="5"/>
  <c r="AF4" i="5"/>
  <c r="AG4" i="5"/>
  <c r="AH4" i="5"/>
  <c r="AI4" i="5"/>
  <c r="AJ4" i="5"/>
  <c r="AK4" i="5"/>
  <c r="AL4" i="5"/>
  <c r="AM4" i="5"/>
  <c r="AN4" i="5"/>
  <c r="E120" i="19"/>
  <c r="D39" i="8"/>
  <c r="CK28" i="5"/>
  <c r="CL24" i="5"/>
  <c r="B114" i="19"/>
  <c r="B122" i="19"/>
  <c r="N4" i="5"/>
  <c r="Y24" i="5"/>
  <c r="X28" i="5"/>
  <c r="AH28" i="5"/>
  <c r="AI24" i="5"/>
  <c r="C42" i="8"/>
  <c r="E36" i="8"/>
  <c r="E38" i="8"/>
  <c r="E39" i="8"/>
  <c r="BY24" i="5"/>
  <c r="BX28" i="5"/>
  <c r="G37" i="8"/>
  <c r="E154" i="19"/>
  <c r="K27" i="5"/>
  <c r="N122" i="19"/>
  <c r="D28" i="8"/>
  <c r="D42" i="8"/>
  <c r="N114" i="19"/>
  <c r="N117" i="19"/>
  <c r="N119" i="19"/>
  <c r="D5" i="8"/>
  <c r="C122" i="19"/>
  <c r="BI24" i="5"/>
  <c r="BH28" i="5"/>
  <c r="AP5" i="5"/>
  <c r="AQ5" i="5"/>
  <c r="AR5" i="5"/>
  <c r="AS5" i="5"/>
  <c r="AT5" i="5"/>
  <c r="AU5" i="5"/>
  <c r="AV5" i="5"/>
  <c r="AW5" i="5"/>
  <c r="AX5" i="5"/>
  <c r="AY5" i="5"/>
  <c r="AZ5" i="5"/>
  <c r="BA5" i="5"/>
  <c r="L38" i="8"/>
  <c r="B14" i="8"/>
  <c r="C51" i="8"/>
  <c r="B13" i="8"/>
  <c r="B7" i="8"/>
  <c r="CV28" i="5"/>
  <c r="CW24" i="5"/>
  <c r="F20" i="19"/>
  <c r="C14" i="8"/>
  <c r="A58" i="8"/>
  <c r="H34" i="8"/>
  <c r="H35" i="8"/>
  <c r="P120" i="19"/>
  <c r="F6" i="8"/>
  <c r="DM28" i="5"/>
  <c r="DN24" i="5"/>
  <c r="DN28" i="5"/>
  <c r="L36" i="8"/>
  <c r="D122" i="19"/>
  <c r="D114" i="19"/>
  <c r="F36" i="8"/>
  <c r="Y28" i="5"/>
  <c r="Z24" i="5"/>
  <c r="C13" i="8"/>
  <c r="C9" i="8"/>
  <c r="C7" i="8"/>
  <c r="C10" i="16"/>
  <c r="D4" i="8"/>
  <c r="B119" i="19"/>
  <c r="B117" i="19"/>
  <c r="G20" i="19"/>
  <c r="G123" i="19"/>
  <c r="Q120" i="19"/>
  <c r="G6" i="8"/>
  <c r="CX24" i="5"/>
  <c r="CW28" i="5"/>
  <c r="F38" i="8"/>
  <c r="C7" i="5"/>
  <c r="D7" i="5"/>
  <c r="E7" i="5"/>
  <c r="F7" i="5"/>
  <c r="G7" i="5"/>
  <c r="H7" i="5"/>
  <c r="I7" i="5"/>
  <c r="J7" i="5"/>
  <c r="K7" i="5"/>
  <c r="L7" i="5"/>
  <c r="M7" i="5"/>
  <c r="N7" i="5"/>
  <c r="D14" i="8"/>
  <c r="F153" i="19"/>
  <c r="F154" i="19"/>
  <c r="BY28" i="5"/>
  <c r="BZ24" i="5"/>
  <c r="F120" i="19"/>
  <c r="O119" i="19"/>
  <c r="E5" i="8"/>
  <c r="O114" i="19"/>
  <c r="O117" i="19"/>
  <c r="O122" i="19"/>
  <c r="E28" i="8"/>
  <c r="E41" i="8"/>
  <c r="E8" i="8"/>
  <c r="C119" i="19"/>
  <c r="BO5" i="5"/>
  <c r="BC5" i="5"/>
  <c r="BD5" i="5"/>
  <c r="BE5" i="5"/>
  <c r="BF5" i="5"/>
  <c r="BG5" i="5"/>
  <c r="BH5" i="5"/>
  <c r="BI5" i="5"/>
  <c r="BJ5" i="5"/>
  <c r="BK5" i="5"/>
  <c r="BL5" i="5"/>
  <c r="BM5" i="5"/>
  <c r="BN5" i="5"/>
  <c r="AI28" i="5"/>
  <c r="AJ24" i="5"/>
  <c r="M6" i="5"/>
  <c r="A59" i="8"/>
  <c r="B9" i="8"/>
  <c r="BJ24" i="5"/>
  <c r="BI28" i="5"/>
  <c r="P6" i="5"/>
  <c r="Q6" i="5"/>
  <c r="R6" i="5"/>
  <c r="S6" i="5"/>
  <c r="T6" i="5"/>
  <c r="U6" i="5"/>
  <c r="V6" i="5"/>
  <c r="W6" i="5"/>
  <c r="X6" i="5"/>
  <c r="Y6" i="5"/>
  <c r="Z6" i="5"/>
  <c r="AA6" i="5"/>
  <c r="D14" i="16"/>
  <c r="H37" i="8"/>
  <c r="CL28" i="5"/>
  <c r="CM24" i="5"/>
  <c r="D41" i="8"/>
  <c r="AP4" i="5"/>
  <c r="AQ4" i="5"/>
  <c r="AR4" i="5"/>
  <c r="AS4" i="5"/>
  <c r="AT4" i="5"/>
  <c r="AU4" i="5"/>
  <c r="AV4" i="5"/>
  <c r="AW4" i="5"/>
  <c r="AX4" i="5"/>
  <c r="AY4" i="5"/>
  <c r="AZ4" i="5"/>
  <c r="BA4" i="5"/>
  <c r="I35" i="8"/>
  <c r="I34" i="8"/>
  <c r="C14" i="16"/>
  <c r="F39" i="8"/>
  <c r="CN24" i="5"/>
  <c r="CN28" i="5"/>
  <c r="CM28" i="5"/>
  <c r="E114" i="19"/>
  <c r="E122" i="19"/>
  <c r="BO4" i="5"/>
  <c r="BC4" i="5"/>
  <c r="BD4" i="5"/>
  <c r="BE4" i="5"/>
  <c r="BF4" i="5"/>
  <c r="BG4" i="5"/>
  <c r="BH4" i="5"/>
  <c r="BI4" i="5"/>
  <c r="BJ4" i="5"/>
  <c r="BK4" i="5"/>
  <c r="BL4" i="5"/>
  <c r="BM4" i="5"/>
  <c r="BN4" i="5"/>
  <c r="C11" i="16"/>
  <c r="G36" i="8"/>
  <c r="E14" i="8"/>
  <c r="BZ28" i="5"/>
  <c r="CA24" i="5"/>
  <c r="CA28" i="5"/>
  <c r="P3" i="5"/>
  <c r="Q3" i="5"/>
  <c r="R3" i="5"/>
  <c r="S3" i="5"/>
  <c r="T3" i="5"/>
  <c r="U3" i="5"/>
  <c r="V3" i="5"/>
  <c r="W3" i="5"/>
  <c r="X3" i="5"/>
  <c r="Y3" i="5"/>
  <c r="Z3" i="5"/>
  <c r="AA3" i="5"/>
  <c r="CY24" i="5"/>
  <c r="CX28" i="5"/>
  <c r="D117" i="19"/>
  <c r="D119" i="19"/>
  <c r="D8" i="8"/>
  <c r="A60" i="8"/>
  <c r="AJ28" i="5"/>
  <c r="AK24" i="5"/>
  <c r="G153" i="19"/>
  <c r="G154" i="19"/>
  <c r="P114" i="19"/>
  <c r="P117" i="19"/>
  <c r="P119" i="19"/>
  <c r="F5" i="8"/>
  <c r="F14" i="8"/>
  <c r="P122" i="19"/>
  <c r="F28" i="8"/>
  <c r="G120" i="19"/>
  <c r="H20" i="19"/>
  <c r="G38" i="8"/>
  <c r="AC6" i="5"/>
  <c r="AD6" i="5"/>
  <c r="AE6" i="5"/>
  <c r="AF6" i="5"/>
  <c r="AG6" i="5"/>
  <c r="AH6" i="5"/>
  <c r="AI6" i="5"/>
  <c r="AJ6" i="5"/>
  <c r="AK6" i="5"/>
  <c r="AL6" i="5"/>
  <c r="AM6" i="5"/>
  <c r="AN6" i="5"/>
  <c r="E14" i="16"/>
  <c r="BJ28" i="5"/>
  <c r="BK24" i="5"/>
  <c r="E42" i="8"/>
  <c r="L42" i="8"/>
  <c r="D10" i="16"/>
  <c r="E4" i="8"/>
  <c r="P7" i="5"/>
  <c r="Q7" i="5"/>
  <c r="R7" i="5"/>
  <c r="S7" i="5"/>
  <c r="T7" i="5"/>
  <c r="U7" i="5"/>
  <c r="V7" i="5"/>
  <c r="W7" i="5"/>
  <c r="X7" i="5"/>
  <c r="Y7" i="5"/>
  <c r="Z7" i="5"/>
  <c r="AA7" i="5"/>
  <c r="I37" i="8"/>
  <c r="D13" i="8"/>
  <c r="D7" i="8"/>
  <c r="AA24" i="5"/>
  <c r="AA28" i="5"/>
  <c r="Z28" i="5"/>
  <c r="CB5" i="5"/>
  <c r="BP5" i="5"/>
  <c r="BQ5" i="5"/>
  <c r="BR5" i="5"/>
  <c r="BS5" i="5"/>
  <c r="BT5" i="5"/>
  <c r="BU5" i="5"/>
  <c r="BV5" i="5"/>
  <c r="BW5" i="5"/>
  <c r="BX5" i="5"/>
  <c r="BY5" i="5"/>
  <c r="BZ5" i="5"/>
  <c r="CA5" i="5"/>
  <c r="J34" i="8"/>
  <c r="J35" i="8"/>
  <c r="D9" i="8"/>
  <c r="G4" i="8"/>
  <c r="F41" i="8"/>
  <c r="H38" i="8"/>
  <c r="D11" i="16"/>
  <c r="J37" i="8"/>
  <c r="C13" i="16"/>
  <c r="B19" i="12"/>
  <c r="C3" i="16"/>
  <c r="C12" i="16"/>
  <c r="C15" i="16"/>
  <c r="F42" i="8"/>
  <c r="CZ24" i="5"/>
  <c r="CY28" i="5"/>
  <c r="S120" i="19"/>
  <c r="I6" i="8"/>
  <c r="E10" i="16"/>
  <c r="C18" i="15"/>
  <c r="AK28" i="5"/>
  <c r="AL24" i="5"/>
  <c r="F14" i="16"/>
  <c r="AP6" i="5"/>
  <c r="AQ6" i="5"/>
  <c r="AR6" i="5"/>
  <c r="AS6" i="5"/>
  <c r="AT6" i="5"/>
  <c r="AU6" i="5"/>
  <c r="AV6" i="5"/>
  <c r="AW6" i="5"/>
  <c r="AX6" i="5"/>
  <c r="AY6" i="5"/>
  <c r="AZ6" i="5"/>
  <c r="BA6" i="5"/>
  <c r="CB4" i="5"/>
  <c r="BP4" i="5"/>
  <c r="BQ4" i="5"/>
  <c r="BR4" i="5"/>
  <c r="BS4" i="5"/>
  <c r="BT4" i="5"/>
  <c r="BU4" i="5"/>
  <c r="BV4" i="5"/>
  <c r="BW4" i="5"/>
  <c r="BX4" i="5"/>
  <c r="BY4" i="5"/>
  <c r="BZ4" i="5"/>
  <c r="CA4" i="5"/>
  <c r="Q119" i="19"/>
  <c r="G5" i="8"/>
  <c r="G14" i="8"/>
  <c r="Q114" i="19"/>
  <c r="Q117" i="19"/>
  <c r="Q122" i="19"/>
  <c r="G28" i="8"/>
  <c r="A61" i="8"/>
  <c r="H36" i="8"/>
  <c r="H39" i="8"/>
  <c r="F4" i="8"/>
  <c r="AC7" i="5"/>
  <c r="AD7" i="5"/>
  <c r="AE7" i="5"/>
  <c r="AF7" i="5"/>
  <c r="AG7" i="5"/>
  <c r="AH7" i="5"/>
  <c r="AI7" i="5"/>
  <c r="AJ7" i="5"/>
  <c r="AK7" i="5"/>
  <c r="AL7" i="5"/>
  <c r="AM7" i="5"/>
  <c r="AN7" i="5"/>
  <c r="D10" i="8"/>
  <c r="I20" i="19"/>
  <c r="O22" i="5"/>
  <c r="AB21" i="5"/>
  <c r="E117" i="19"/>
  <c r="E119" i="19"/>
  <c r="CO5" i="5"/>
  <c r="CC5" i="5"/>
  <c r="CD5" i="5"/>
  <c r="CE5" i="5"/>
  <c r="CF5" i="5"/>
  <c r="CG5" i="5"/>
  <c r="CH5" i="5"/>
  <c r="CI5" i="5"/>
  <c r="CJ5" i="5"/>
  <c r="CK5" i="5"/>
  <c r="CL5" i="5"/>
  <c r="CM5" i="5"/>
  <c r="CN5" i="5"/>
  <c r="BK28" i="5"/>
  <c r="BL24" i="5"/>
  <c r="E13" i="8"/>
  <c r="E7" i="8"/>
  <c r="E9" i="8"/>
  <c r="E10" i="8"/>
  <c r="K90" i="19"/>
  <c r="F122" i="19"/>
  <c r="F114" i="19"/>
  <c r="G39" i="8"/>
  <c r="G41" i="8"/>
  <c r="G8" i="8"/>
  <c r="AC3" i="5"/>
  <c r="AD3" i="5"/>
  <c r="AE3" i="5"/>
  <c r="AF3" i="5"/>
  <c r="AG3" i="5"/>
  <c r="AH3" i="5"/>
  <c r="AI3" i="5"/>
  <c r="AJ3" i="5"/>
  <c r="AK3" i="5"/>
  <c r="AL3" i="5"/>
  <c r="AM3" i="5"/>
  <c r="AN3" i="5"/>
  <c r="R120" i="19"/>
  <c r="H6" i="8"/>
  <c r="K65" i="19"/>
  <c r="I36" i="8"/>
  <c r="F119" i="19"/>
  <c r="F117" i="19"/>
  <c r="AP3" i="5"/>
  <c r="AQ3" i="5"/>
  <c r="AR3" i="5"/>
  <c r="AS3" i="5"/>
  <c r="AT3" i="5"/>
  <c r="AU3" i="5"/>
  <c r="AV3" i="5"/>
  <c r="AW3" i="5"/>
  <c r="AX3" i="5"/>
  <c r="AY3" i="5"/>
  <c r="AZ3" i="5"/>
  <c r="BA3" i="5"/>
  <c r="F13" i="8"/>
  <c r="F7" i="8"/>
  <c r="CB3" i="5"/>
  <c r="F10" i="16"/>
  <c r="J20" i="19"/>
  <c r="A62" i="8"/>
  <c r="D17" i="15"/>
  <c r="D18" i="15"/>
  <c r="C6" i="16"/>
  <c r="C2" i="16"/>
  <c r="I38" i="8"/>
  <c r="I120" i="19"/>
  <c r="L23" i="5"/>
  <c r="L20" i="5"/>
  <c r="L22" i="5"/>
  <c r="M21" i="5"/>
  <c r="L26" i="5"/>
  <c r="R122" i="19"/>
  <c r="H28" i="8"/>
  <c r="H42" i="8"/>
  <c r="R114" i="19"/>
  <c r="R117" i="19"/>
  <c r="R119" i="19"/>
  <c r="H5" i="8"/>
  <c r="H14" i="8"/>
  <c r="BO3" i="5"/>
  <c r="G42" i="8"/>
  <c r="E11" i="16"/>
  <c r="D12" i="16"/>
  <c r="C19" i="12"/>
  <c r="D3" i="16"/>
  <c r="D13" i="16"/>
  <c r="D15" i="16"/>
  <c r="G122" i="19"/>
  <c r="G114" i="19"/>
  <c r="BO6" i="5"/>
  <c r="BC6" i="5"/>
  <c r="BD6" i="5"/>
  <c r="BE6" i="5"/>
  <c r="BF6" i="5"/>
  <c r="BG6" i="5"/>
  <c r="BH6" i="5"/>
  <c r="BI6" i="5"/>
  <c r="BJ6" i="5"/>
  <c r="BK6" i="5"/>
  <c r="BL6" i="5"/>
  <c r="BM6" i="5"/>
  <c r="BN6" i="5"/>
  <c r="G14" i="16"/>
  <c r="BL28" i="5"/>
  <c r="BM24" i="5"/>
  <c r="D18" i="3"/>
  <c r="P8" i="5"/>
  <c r="AB20" i="5"/>
  <c r="AB22" i="5"/>
  <c r="AO21" i="5"/>
  <c r="CZ28" i="5"/>
  <c r="DA24" i="5"/>
  <c r="DA28" i="5"/>
  <c r="G13" i="8"/>
  <c r="G10" i="8"/>
  <c r="G7" i="8"/>
  <c r="G9" i="8"/>
  <c r="DB5" i="5"/>
  <c r="CP5" i="5"/>
  <c r="CQ5" i="5"/>
  <c r="CR5" i="5"/>
  <c r="CS5" i="5"/>
  <c r="CT5" i="5"/>
  <c r="CU5" i="5"/>
  <c r="CV5" i="5"/>
  <c r="CW5" i="5"/>
  <c r="CX5" i="5"/>
  <c r="CY5" i="5"/>
  <c r="CZ5" i="5"/>
  <c r="DA5" i="5"/>
  <c r="CO4" i="5"/>
  <c r="CC4" i="5"/>
  <c r="CD4" i="5"/>
  <c r="CE4" i="5"/>
  <c r="CF4" i="5"/>
  <c r="CG4" i="5"/>
  <c r="CH4" i="5"/>
  <c r="CI4" i="5"/>
  <c r="CJ4" i="5"/>
  <c r="CK4" i="5"/>
  <c r="CL4" i="5"/>
  <c r="CM4" i="5"/>
  <c r="CN4" i="5"/>
  <c r="H4" i="8"/>
  <c r="AL28" i="5"/>
  <c r="AM24" i="5"/>
  <c r="I123" i="19"/>
  <c r="H123" i="19"/>
  <c r="H120" i="19"/>
  <c r="H41" i="8"/>
  <c r="H8" i="8"/>
  <c r="CB7" i="5"/>
  <c r="BP7" i="5"/>
  <c r="BQ7" i="5"/>
  <c r="BR7" i="5"/>
  <c r="BS7" i="5"/>
  <c r="BT7" i="5"/>
  <c r="BU7" i="5"/>
  <c r="BV7" i="5"/>
  <c r="BW7" i="5"/>
  <c r="BX7" i="5"/>
  <c r="BY7" i="5"/>
  <c r="BZ7" i="5"/>
  <c r="CA7" i="5"/>
  <c r="M23" i="5"/>
  <c r="M29" i="5"/>
  <c r="M20" i="5"/>
  <c r="M22" i="5"/>
  <c r="N21" i="5"/>
  <c r="A63" i="8"/>
  <c r="S122" i="19"/>
  <c r="I28" i="8"/>
  <c r="S114" i="19"/>
  <c r="S117" i="19"/>
  <c r="S119" i="19"/>
  <c r="I5" i="8"/>
  <c r="I14" i="8"/>
  <c r="H10" i="16"/>
  <c r="CB6" i="5"/>
  <c r="BP6" i="5"/>
  <c r="BQ6" i="5"/>
  <c r="BR6" i="5"/>
  <c r="BS6" i="5"/>
  <c r="BT6" i="5"/>
  <c r="BU6" i="5"/>
  <c r="BV6" i="5"/>
  <c r="BW6" i="5"/>
  <c r="BX6" i="5"/>
  <c r="BY6" i="5"/>
  <c r="BZ6" i="5"/>
  <c r="CA6" i="5"/>
  <c r="L29" i="5"/>
  <c r="BP3" i="5"/>
  <c r="CO3" i="5"/>
  <c r="F11" i="16"/>
  <c r="I39" i="8"/>
  <c r="BM28" i="5"/>
  <c r="BN24" i="5"/>
  <c r="BN28" i="5"/>
  <c r="J38" i="8"/>
  <c r="H13" i="8"/>
  <c r="H10" i="8"/>
  <c r="H7" i="8"/>
  <c r="H9" i="8"/>
  <c r="AC8" i="5"/>
  <c r="AO20" i="5"/>
  <c r="AO22" i="5"/>
  <c r="BB21" i="5"/>
  <c r="H122" i="19"/>
  <c r="H114" i="19"/>
  <c r="AM28" i="5"/>
  <c r="AN24" i="5"/>
  <c r="DO5" i="5"/>
  <c r="DC5" i="5"/>
  <c r="DD5" i="5"/>
  <c r="DE5" i="5"/>
  <c r="DF5" i="5"/>
  <c r="DG5" i="5"/>
  <c r="DH5" i="5"/>
  <c r="DI5" i="5"/>
  <c r="DJ5" i="5"/>
  <c r="DK5" i="5"/>
  <c r="DL5" i="5"/>
  <c r="DM5" i="5"/>
  <c r="DN5" i="5"/>
  <c r="Q8" i="5"/>
  <c r="P23" i="5"/>
  <c r="P20" i="5"/>
  <c r="Q20" i="5"/>
  <c r="R20" i="5"/>
  <c r="S20" i="5"/>
  <c r="T20" i="5"/>
  <c r="U20" i="5"/>
  <c r="V20" i="5"/>
  <c r="W20" i="5"/>
  <c r="X20" i="5"/>
  <c r="Y20" i="5"/>
  <c r="Z20" i="5"/>
  <c r="AA20" i="5"/>
  <c r="G119" i="19"/>
  <c r="G117" i="19"/>
  <c r="BF3" i="5"/>
  <c r="BF8" i="5"/>
  <c r="BF23" i="5"/>
  <c r="BI3" i="5"/>
  <c r="BI8" i="5"/>
  <c r="BI23" i="5"/>
  <c r="BL3" i="5"/>
  <c r="BL8" i="5"/>
  <c r="BL23" i="5"/>
  <c r="BC3" i="5"/>
  <c r="BC8" i="5"/>
  <c r="BC23" i="5"/>
  <c r="BD3" i="5"/>
  <c r="BD8" i="5"/>
  <c r="BD23" i="5"/>
  <c r="BE3" i="5"/>
  <c r="BE8" i="5"/>
  <c r="BE23" i="5"/>
  <c r="BM3" i="5"/>
  <c r="BM8" i="5"/>
  <c r="BM23" i="5"/>
  <c r="BN3" i="5"/>
  <c r="BN8" i="5"/>
  <c r="BN23" i="5"/>
  <c r="BJ3" i="5"/>
  <c r="BJ8" i="5"/>
  <c r="BJ23" i="5"/>
  <c r="BG3" i="5"/>
  <c r="BG8" i="5"/>
  <c r="BG23" i="5"/>
  <c r="BK3" i="5"/>
  <c r="BK8" i="5"/>
  <c r="BK23" i="5"/>
  <c r="DM3" i="5"/>
  <c r="CZ3" i="5"/>
  <c r="CM3" i="5"/>
  <c r="CA3" i="5"/>
  <c r="CY3" i="5"/>
  <c r="BZ3" i="5"/>
  <c r="DL3" i="5"/>
  <c r="CL3" i="5"/>
  <c r="BH3" i="5"/>
  <c r="BH8" i="5"/>
  <c r="BH23" i="5"/>
  <c r="CX3" i="5"/>
  <c r="CI3" i="5"/>
  <c r="BU3" i="5"/>
  <c r="DJ3" i="5"/>
  <c r="CF3" i="5"/>
  <c r="DH3" i="5"/>
  <c r="CD3" i="5"/>
  <c r="DI3" i="5"/>
  <c r="CT3" i="5"/>
  <c r="CE3" i="5"/>
  <c r="BQ3" i="5"/>
  <c r="CU3" i="5"/>
  <c r="BR3" i="5"/>
  <c r="DA3" i="5"/>
  <c r="BT3" i="5"/>
  <c r="DG3" i="5"/>
  <c r="CR3" i="5"/>
  <c r="CC3" i="5"/>
  <c r="CQ3" i="5"/>
  <c r="CW3" i="5"/>
  <c r="DK3" i="5"/>
  <c r="CG3" i="5"/>
  <c r="DF3" i="5"/>
  <c r="DD3" i="5"/>
  <c r="DC3" i="5"/>
  <c r="BW3" i="5"/>
  <c r="CJ3" i="5"/>
  <c r="CH3" i="5"/>
  <c r="CP3" i="5"/>
  <c r="CK3" i="5"/>
  <c r="DN3" i="5"/>
  <c r="DE3" i="5"/>
  <c r="CS3" i="5"/>
  <c r="CV3" i="5"/>
  <c r="BX3" i="5"/>
  <c r="BY3" i="5"/>
  <c r="BS3" i="5"/>
  <c r="CN3" i="5"/>
  <c r="BV3" i="5"/>
  <c r="M25" i="5"/>
  <c r="M26" i="5"/>
  <c r="N25" i="5"/>
  <c r="L27" i="5"/>
  <c r="G10" i="16"/>
  <c r="E17" i="15"/>
  <c r="E18" i="15"/>
  <c r="D6" i="16"/>
  <c r="D2" i="16"/>
  <c r="J36" i="8"/>
  <c r="J39" i="8"/>
  <c r="E3" i="16"/>
  <c r="E13" i="16"/>
  <c r="D19" i="12"/>
  <c r="E12" i="16"/>
  <c r="E15" i="16"/>
  <c r="DB4" i="5"/>
  <c r="CP4" i="5"/>
  <c r="CQ4" i="5"/>
  <c r="CR4" i="5"/>
  <c r="CS4" i="5"/>
  <c r="CT4" i="5"/>
  <c r="CU4" i="5"/>
  <c r="CV4" i="5"/>
  <c r="CW4" i="5"/>
  <c r="CX4" i="5"/>
  <c r="CY4" i="5"/>
  <c r="CZ4" i="5"/>
  <c r="DA4" i="5"/>
  <c r="BO7" i="5"/>
  <c r="BC7" i="5"/>
  <c r="BD7" i="5"/>
  <c r="BE7" i="5"/>
  <c r="BF7" i="5"/>
  <c r="BG7" i="5"/>
  <c r="BH7" i="5"/>
  <c r="BI7" i="5"/>
  <c r="BJ7" i="5"/>
  <c r="BK7" i="5"/>
  <c r="BL7" i="5"/>
  <c r="BM7" i="5"/>
  <c r="BN7" i="5"/>
  <c r="C18" i="3"/>
  <c r="C21" i="3"/>
  <c r="D21" i="3"/>
  <c r="T120" i="19"/>
  <c r="J6" i="8"/>
  <c r="N26" i="5"/>
  <c r="P25" i="5"/>
  <c r="P26" i="5"/>
  <c r="Q25" i="5"/>
  <c r="Q26" i="5"/>
  <c r="R25" i="5"/>
  <c r="CO7" i="5"/>
  <c r="CC7" i="5"/>
  <c r="CD7" i="5"/>
  <c r="CE7" i="5"/>
  <c r="CF7" i="5"/>
  <c r="CG7" i="5"/>
  <c r="CH7" i="5"/>
  <c r="CI7" i="5"/>
  <c r="CJ7" i="5"/>
  <c r="CK7" i="5"/>
  <c r="CL7" i="5"/>
  <c r="CM7" i="5"/>
  <c r="CN7" i="5"/>
  <c r="AN28" i="5"/>
  <c r="AP24" i="5"/>
  <c r="T119" i="19"/>
  <c r="J5" i="8"/>
  <c r="J14" i="8"/>
  <c r="T114" i="19"/>
  <c r="T117" i="19"/>
  <c r="T122" i="19"/>
  <c r="J28" i="8"/>
  <c r="J41" i="8"/>
  <c r="J8" i="8"/>
  <c r="CB8" i="5"/>
  <c r="H11" i="16"/>
  <c r="I42" i="8"/>
  <c r="I41" i="8"/>
  <c r="I8" i="8"/>
  <c r="I114" i="19"/>
  <c r="I122" i="19"/>
  <c r="N23" i="5"/>
  <c r="N29" i="5"/>
  <c r="N22" i="5"/>
  <c r="P21" i="5"/>
  <c r="P22" i="5"/>
  <c r="Q21" i="5"/>
  <c r="Q22" i="5"/>
  <c r="R21" i="5"/>
  <c r="R22" i="5"/>
  <c r="S21" i="5"/>
  <c r="S22" i="5"/>
  <c r="T21" i="5"/>
  <c r="T22" i="5"/>
  <c r="U21" i="5"/>
  <c r="U22" i="5"/>
  <c r="V21" i="5"/>
  <c r="V22" i="5"/>
  <c r="W21" i="5"/>
  <c r="W22" i="5"/>
  <c r="X21" i="5"/>
  <c r="X22" i="5"/>
  <c r="Y21" i="5"/>
  <c r="Y22" i="5"/>
  <c r="Z21" i="5"/>
  <c r="Z22" i="5"/>
  <c r="AA21" i="5"/>
  <c r="AA22" i="5"/>
  <c r="AC21" i="5"/>
  <c r="J4" i="8"/>
  <c r="BN29" i="5"/>
  <c r="BM29" i="5"/>
  <c r="DO4" i="5"/>
  <c r="DC4" i="5"/>
  <c r="DD4" i="5"/>
  <c r="DE4" i="5"/>
  <c r="DF4" i="5"/>
  <c r="DG4" i="5"/>
  <c r="DH4" i="5"/>
  <c r="DI4" i="5"/>
  <c r="DJ4" i="5"/>
  <c r="DK4" i="5"/>
  <c r="DL4" i="5"/>
  <c r="DM4" i="5"/>
  <c r="DN4" i="5"/>
  <c r="H117" i="19"/>
  <c r="H119" i="19"/>
  <c r="I4" i="8"/>
  <c r="A64" i="8"/>
  <c r="BO8" i="5"/>
  <c r="BO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P29" i="5"/>
  <c r="G11" i="16"/>
  <c r="AD8" i="5"/>
  <c r="AC23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F17" i="15"/>
  <c r="F18" i="15"/>
  <c r="E6" i="16"/>
  <c r="E2" i="16"/>
  <c r="M27" i="5"/>
  <c r="R8" i="5"/>
  <c r="Q23" i="5"/>
  <c r="Q29" i="5"/>
  <c r="L39" i="8"/>
  <c r="B47" i="8"/>
  <c r="CO6" i="5"/>
  <c r="CC6" i="5"/>
  <c r="CD6" i="5"/>
  <c r="CE6" i="5"/>
  <c r="CF6" i="5"/>
  <c r="CG6" i="5"/>
  <c r="CH6" i="5"/>
  <c r="CI6" i="5"/>
  <c r="CJ6" i="5"/>
  <c r="CK6" i="5"/>
  <c r="CL6" i="5"/>
  <c r="CM6" i="5"/>
  <c r="CN6" i="5"/>
  <c r="AP7" i="5"/>
  <c r="AQ7" i="5"/>
  <c r="AR7" i="5"/>
  <c r="AS7" i="5"/>
  <c r="AT7" i="5"/>
  <c r="AU7" i="5"/>
  <c r="AV7" i="5"/>
  <c r="AW7" i="5"/>
  <c r="AX7" i="5"/>
  <c r="AY7" i="5"/>
  <c r="AZ7" i="5"/>
  <c r="BA7" i="5"/>
  <c r="E19" i="12"/>
  <c r="F13" i="16"/>
  <c r="F3" i="16"/>
  <c r="F12" i="16"/>
  <c r="F15" i="16"/>
  <c r="H14" i="16"/>
  <c r="I10" i="16"/>
  <c r="K71" i="19"/>
  <c r="L29" i="8"/>
  <c r="J120" i="19"/>
  <c r="J123" i="19"/>
  <c r="P27" i="5"/>
  <c r="Q27" i="5"/>
  <c r="N27" i="5"/>
  <c r="E53" i="8"/>
  <c r="E52" i="8"/>
  <c r="E54" i="8"/>
  <c r="E55" i="8"/>
  <c r="E56" i="8"/>
  <c r="E57" i="8"/>
  <c r="E58" i="8"/>
  <c r="E59" i="8"/>
  <c r="E60" i="8"/>
  <c r="E61" i="8"/>
  <c r="E62" i="8"/>
  <c r="E63" i="8"/>
  <c r="E64" i="8"/>
  <c r="DO3" i="5"/>
  <c r="G18" i="3"/>
  <c r="Q30" i="5"/>
  <c r="P30" i="5"/>
  <c r="P32" i="5"/>
  <c r="H18" i="3"/>
  <c r="AC29" i="5"/>
  <c r="CO8" i="5"/>
  <c r="AP8" i="5"/>
  <c r="BB20" i="5"/>
  <c r="BB22" i="5"/>
  <c r="BO21" i="5"/>
  <c r="BO22" i="5"/>
  <c r="CB21" i="5"/>
  <c r="G12" i="16"/>
  <c r="G13" i="16"/>
  <c r="F19" i="12"/>
  <c r="G3" i="16"/>
  <c r="G15" i="16"/>
  <c r="G17" i="15"/>
  <c r="G18" i="15"/>
  <c r="F6" i="16"/>
  <c r="F2" i="16"/>
  <c r="I13" i="8"/>
  <c r="I10" i="8"/>
  <c r="I7" i="8"/>
  <c r="I9" i="8"/>
  <c r="I11" i="16"/>
  <c r="I14" i="16"/>
  <c r="AE8" i="5"/>
  <c r="AD23" i="5"/>
  <c r="E65" i="8"/>
  <c r="A65" i="8"/>
  <c r="J13" i="8"/>
  <c r="J10" i="8"/>
  <c r="J7" i="8"/>
  <c r="J9" i="8"/>
  <c r="I119" i="19"/>
  <c r="I117" i="19"/>
  <c r="J122" i="19"/>
  <c r="R26" i="5"/>
  <c r="S25" i="5"/>
  <c r="G19" i="12"/>
  <c r="H3" i="16"/>
  <c r="H13" i="16"/>
  <c r="H12" i="16"/>
  <c r="H15" i="16"/>
  <c r="DB6" i="5"/>
  <c r="CP6" i="5"/>
  <c r="CQ6" i="5"/>
  <c r="CR6" i="5"/>
  <c r="CS6" i="5"/>
  <c r="CT6" i="5"/>
  <c r="CU6" i="5"/>
  <c r="CV6" i="5"/>
  <c r="CW6" i="5"/>
  <c r="CX6" i="5"/>
  <c r="CY6" i="5"/>
  <c r="CZ6" i="5"/>
  <c r="DA6" i="5"/>
  <c r="BP8" i="5"/>
  <c r="CB20" i="5"/>
  <c r="AQ24" i="5"/>
  <c r="AP28" i="5"/>
  <c r="S8" i="5"/>
  <c r="R23" i="5"/>
  <c r="R29" i="5"/>
  <c r="R30" i="5"/>
  <c r="E18" i="3"/>
  <c r="E21" i="3"/>
  <c r="DB3" i="5"/>
  <c r="AC22" i="5"/>
  <c r="AD21" i="5"/>
  <c r="AD22" i="5"/>
  <c r="AE21" i="5"/>
  <c r="AE22" i="5"/>
  <c r="AF21" i="5"/>
  <c r="AF22" i="5"/>
  <c r="AG21" i="5"/>
  <c r="AG22" i="5"/>
  <c r="AH21" i="5"/>
  <c r="AH22" i="5"/>
  <c r="AI21" i="5"/>
  <c r="AI22" i="5"/>
  <c r="AJ21" i="5"/>
  <c r="AJ22" i="5"/>
  <c r="AK21" i="5"/>
  <c r="AK22" i="5"/>
  <c r="AL21" i="5"/>
  <c r="AL22" i="5"/>
  <c r="AM21" i="5"/>
  <c r="AM22" i="5"/>
  <c r="AN21" i="5"/>
  <c r="AN22" i="5"/>
  <c r="AP21" i="5"/>
  <c r="J42" i="8"/>
  <c r="R27" i="5"/>
  <c r="DO7" i="5"/>
  <c r="DC7" i="5"/>
  <c r="DD7" i="5"/>
  <c r="DE7" i="5"/>
  <c r="DF7" i="5"/>
  <c r="DG7" i="5"/>
  <c r="DH7" i="5"/>
  <c r="DI7" i="5"/>
  <c r="DJ7" i="5"/>
  <c r="DK7" i="5"/>
  <c r="DL7" i="5"/>
  <c r="DM7" i="5"/>
  <c r="DN7" i="5"/>
  <c r="H17" i="15"/>
  <c r="H18" i="15"/>
  <c r="G6" i="16"/>
  <c r="G2" i="16"/>
  <c r="DO6" i="5"/>
  <c r="DC6" i="5"/>
  <c r="DD6" i="5"/>
  <c r="DE6" i="5"/>
  <c r="DF6" i="5"/>
  <c r="DG6" i="5"/>
  <c r="DH6" i="5"/>
  <c r="DI6" i="5"/>
  <c r="DJ6" i="5"/>
  <c r="DK6" i="5"/>
  <c r="DL6" i="5"/>
  <c r="DM6" i="5"/>
  <c r="DN6" i="5"/>
  <c r="AF8" i="5"/>
  <c r="AE23" i="5"/>
  <c r="AE29" i="5"/>
  <c r="DB7" i="5"/>
  <c r="CP7" i="5"/>
  <c r="CQ7" i="5"/>
  <c r="CR7" i="5"/>
  <c r="CS7" i="5"/>
  <c r="CT7" i="5"/>
  <c r="CU7" i="5"/>
  <c r="CV7" i="5"/>
  <c r="CW7" i="5"/>
  <c r="CX7" i="5"/>
  <c r="CY7" i="5"/>
  <c r="CZ7" i="5"/>
  <c r="DA7" i="5"/>
  <c r="AQ8" i="5"/>
  <c r="AP23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2" i="5"/>
  <c r="CO21" i="5"/>
  <c r="S26" i="5"/>
  <c r="T25" i="5"/>
  <c r="A66" i="8"/>
  <c r="E66" i="8"/>
  <c r="C66" i="8"/>
  <c r="F40" i="5"/>
  <c r="G40" i="5"/>
  <c r="H40" i="5"/>
  <c r="I13" i="16"/>
  <c r="I3" i="16"/>
  <c r="I12" i="16"/>
  <c r="H19" i="12"/>
  <c r="I15" i="16"/>
  <c r="AQ28" i="5"/>
  <c r="AR24" i="5"/>
  <c r="K10" i="16"/>
  <c r="J14" i="16"/>
  <c r="BQ8" i="5"/>
  <c r="BP23" i="5"/>
  <c r="I18" i="3"/>
  <c r="CC8" i="5"/>
  <c r="CO20" i="5"/>
  <c r="L28" i="8"/>
  <c r="B51" i="8"/>
  <c r="DB8" i="5"/>
  <c r="T8" i="5"/>
  <c r="S23" i="5"/>
  <c r="J10" i="16"/>
  <c r="J117" i="19"/>
  <c r="J119" i="19"/>
  <c r="AD29" i="5"/>
  <c r="Q32" i="5"/>
  <c r="R32" i="5"/>
  <c r="C54" i="8"/>
  <c r="C56" i="8"/>
  <c r="C60" i="8"/>
  <c r="C64" i="8"/>
  <c r="C52" i="8"/>
  <c r="C57" i="8"/>
  <c r="C61" i="8"/>
  <c r="C53" i="8"/>
  <c r="C58" i="8"/>
  <c r="C62" i="8"/>
  <c r="C55" i="8"/>
  <c r="C59" i="8"/>
  <c r="C63" i="8"/>
  <c r="C65" i="8"/>
  <c r="L41" i="8"/>
  <c r="F8" i="8"/>
  <c r="F10" i="8"/>
  <c r="AP22" i="5"/>
  <c r="AQ21" i="5"/>
  <c r="AQ22" i="5"/>
  <c r="AR21" i="5"/>
  <c r="AR22" i="5"/>
  <c r="AS21" i="5"/>
  <c r="AS22" i="5"/>
  <c r="AT21" i="5"/>
  <c r="AT22" i="5"/>
  <c r="AU21" i="5"/>
  <c r="AU22" i="5"/>
  <c r="AV21" i="5"/>
  <c r="AV22" i="5"/>
  <c r="AW21" i="5"/>
  <c r="AW22" i="5"/>
  <c r="AX21" i="5"/>
  <c r="AX22" i="5"/>
  <c r="AY21" i="5"/>
  <c r="AY22" i="5"/>
  <c r="AZ21" i="5"/>
  <c r="AZ22" i="5"/>
  <c r="BA21" i="5"/>
  <c r="BA22" i="5"/>
  <c r="BC21" i="5"/>
  <c r="BC22" i="5"/>
  <c r="BD21" i="5"/>
  <c r="BD22" i="5"/>
  <c r="BE21" i="5"/>
  <c r="BE22" i="5"/>
  <c r="BF21" i="5"/>
  <c r="BF22" i="5"/>
  <c r="BG21" i="5"/>
  <c r="BG22" i="5"/>
  <c r="BH21" i="5"/>
  <c r="BH22" i="5"/>
  <c r="BI21" i="5"/>
  <c r="BI22" i="5"/>
  <c r="BJ21" i="5"/>
  <c r="BJ22" i="5"/>
  <c r="BK21" i="5"/>
  <c r="BK22" i="5"/>
  <c r="BL21" i="5"/>
  <c r="BL22" i="5"/>
  <c r="BM21" i="5"/>
  <c r="BM22" i="5"/>
  <c r="BN21" i="5"/>
  <c r="BN22" i="5"/>
  <c r="BP21" i="5"/>
  <c r="BP22" i="5"/>
  <c r="BQ21" i="5"/>
  <c r="BQ22" i="5"/>
  <c r="BR21" i="5"/>
  <c r="BR22" i="5"/>
  <c r="BS21" i="5"/>
  <c r="BS22" i="5"/>
  <c r="BT21" i="5"/>
  <c r="BT22" i="5"/>
  <c r="BU21" i="5"/>
  <c r="BU22" i="5"/>
  <c r="BV21" i="5"/>
  <c r="BV22" i="5"/>
  <c r="BW21" i="5"/>
  <c r="BW22" i="5"/>
  <c r="BX21" i="5"/>
  <c r="BX22" i="5"/>
  <c r="BY21" i="5"/>
  <c r="BY22" i="5"/>
  <c r="BZ21" i="5"/>
  <c r="BZ22" i="5"/>
  <c r="CA21" i="5"/>
  <c r="CA22" i="5"/>
  <c r="CC21" i="5"/>
  <c r="I40" i="5"/>
  <c r="S27" i="5"/>
  <c r="DO8" i="5"/>
  <c r="DC8" i="5"/>
  <c r="F18" i="3"/>
  <c r="F21" i="3"/>
  <c r="G21" i="3"/>
  <c r="H21" i="3"/>
  <c r="I21" i="3"/>
  <c r="K11" i="16"/>
  <c r="AR8" i="5"/>
  <c r="AQ23" i="5"/>
  <c r="AQ29" i="5"/>
  <c r="AR28" i="5"/>
  <c r="AS24" i="5"/>
  <c r="S29" i="5"/>
  <c r="S30" i="5"/>
  <c r="S32" i="5"/>
  <c r="I17" i="15"/>
  <c r="I18" i="15"/>
  <c r="H6" i="16"/>
  <c r="H2" i="16"/>
  <c r="CD8" i="5"/>
  <c r="CC23" i="5"/>
  <c r="U8" i="5"/>
  <c r="T23" i="5"/>
  <c r="T29" i="5"/>
  <c r="T30" i="5"/>
  <c r="CP8" i="5"/>
  <c r="DB20" i="5"/>
  <c r="BP29" i="5"/>
  <c r="E67" i="8"/>
  <c r="A67" i="8"/>
  <c r="C67" i="8"/>
  <c r="K14" i="16"/>
  <c r="J11" i="16"/>
  <c r="B52" i="8"/>
  <c r="F51" i="8"/>
  <c r="CC20" i="5"/>
  <c r="CD20" i="5"/>
  <c r="CE20" i="5"/>
  <c r="CF20" i="5"/>
  <c r="CG20" i="5"/>
  <c r="CH20" i="5"/>
  <c r="CI20" i="5"/>
  <c r="CJ20" i="5"/>
  <c r="CK20" i="5"/>
  <c r="CL20" i="5"/>
  <c r="CM20" i="5"/>
  <c r="CN20" i="5"/>
  <c r="CO22" i="5"/>
  <c r="DB21" i="5"/>
  <c r="BR8" i="5"/>
  <c r="BQ23" i="5"/>
  <c r="T26" i="5"/>
  <c r="U25" i="5"/>
  <c r="AP29" i="5"/>
  <c r="AG8" i="5"/>
  <c r="AF23" i="5"/>
  <c r="AF29" i="5"/>
  <c r="F9" i="8"/>
  <c r="DO20" i="5"/>
  <c r="DC20" i="5"/>
  <c r="DD20" i="5"/>
  <c r="DE20" i="5"/>
  <c r="DF20" i="5"/>
  <c r="DG20" i="5"/>
  <c r="DH20" i="5"/>
  <c r="DI20" i="5"/>
  <c r="DJ20" i="5"/>
  <c r="DK20" i="5"/>
  <c r="DL20" i="5"/>
  <c r="DM20" i="5"/>
  <c r="DN20" i="5"/>
  <c r="U26" i="5"/>
  <c r="V25" i="5"/>
  <c r="T32" i="5"/>
  <c r="K13" i="16"/>
  <c r="K12" i="16"/>
  <c r="K3" i="16"/>
  <c r="K15" i="16"/>
  <c r="K18" i="3"/>
  <c r="CQ8" i="5"/>
  <c r="CP23" i="5"/>
  <c r="CE8" i="5"/>
  <c r="CD23" i="5"/>
  <c r="CC22" i="5"/>
  <c r="CD21" i="5"/>
  <c r="CD22" i="5"/>
  <c r="CE21" i="5"/>
  <c r="CE22" i="5"/>
  <c r="CF21" i="5"/>
  <c r="CF22" i="5"/>
  <c r="CG21" i="5"/>
  <c r="CG22" i="5"/>
  <c r="CH21" i="5"/>
  <c r="CH22" i="5"/>
  <c r="CI21" i="5"/>
  <c r="CI22" i="5"/>
  <c r="CJ21" i="5"/>
  <c r="CJ22" i="5"/>
  <c r="CK21" i="5"/>
  <c r="CK22" i="5"/>
  <c r="CL21" i="5"/>
  <c r="CL22" i="5"/>
  <c r="CM21" i="5"/>
  <c r="CM22" i="5"/>
  <c r="CN21" i="5"/>
  <c r="CN22" i="5"/>
  <c r="CP21" i="5"/>
  <c r="J13" i="16"/>
  <c r="J12" i="16"/>
  <c r="J3" i="16"/>
  <c r="I19" i="12"/>
  <c r="J15" i="16"/>
  <c r="V8" i="5"/>
  <c r="U23" i="5"/>
  <c r="U29" i="5"/>
  <c r="U30" i="5"/>
  <c r="DD8" i="5"/>
  <c r="DC23" i="5"/>
  <c r="AS8" i="5"/>
  <c r="AR23" i="5"/>
  <c r="BS8" i="5"/>
  <c r="BR23" i="5"/>
  <c r="E68" i="8"/>
  <c r="A68" i="8"/>
  <c r="C68" i="8"/>
  <c r="BQ29" i="5"/>
  <c r="T27" i="5"/>
  <c r="U27" i="5"/>
  <c r="J17" i="15"/>
  <c r="J18" i="15"/>
  <c r="I6" i="16"/>
  <c r="I2" i="16"/>
  <c r="AT24" i="5"/>
  <c r="AS28" i="5"/>
  <c r="B53" i="8"/>
  <c r="F52" i="8"/>
  <c r="AH8" i="5"/>
  <c r="AG23" i="5"/>
  <c r="CP20" i="5"/>
  <c r="CQ20" i="5"/>
  <c r="CR20" i="5"/>
  <c r="CS20" i="5"/>
  <c r="CT20" i="5"/>
  <c r="CU20" i="5"/>
  <c r="CV20" i="5"/>
  <c r="CW20" i="5"/>
  <c r="CX20" i="5"/>
  <c r="CY20" i="5"/>
  <c r="CZ20" i="5"/>
  <c r="DA20" i="5"/>
  <c r="DB22" i="5"/>
  <c r="DO21" i="5"/>
  <c r="DO22" i="5"/>
  <c r="K17" i="15"/>
  <c r="K18" i="15"/>
  <c r="J6" i="16"/>
  <c r="J2" i="16"/>
  <c r="AU24" i="5"/>
  <c r="AT28" i="5"/>
  <c r="U32" i="5"/>
  <c r="W8" i="5"/>
  <c r="V23" i="5"/>
  <c r="AI8" i="5"/>
  <c r="AH23" i="5"/>
  <c r="AH29" i="5"/>
  <c r="AT8" i="5"/>
  <c r="AS23" i="5"/>
  <c r="CF8" i="5"/>
  <c r="CE23" i="5"/>
  <c r="CR8" i="5"/>
  <c r="CQ23" i="5"/>
  <c r="B54" i="8"/>
  <c r="F53" i="8"/>
  <c r="BT8" i="5"/>
  <c r="BS23" i="5"/>
  <c r="AG29" i="5"/>
  <c r="DE8" i="5"/>
  <c r="DD23" i="5"/>
  <c r="CP22" i="5"/>
  <c r="CQ21" i="5"/>
  <c r="CQ22" i="5"/>
  <c r="CR21" i="5"/>
  <c r="CR22" i="5"/>
  <c r="CS21" i="5"/>
  <c r="CS22" i="5"/>
  <c r="CT21" i="5"/>
  <c r="CT22" i="5"/>
  <c r="CU21" i="5"/>
  <c r="CU22" i="5"/>
  <c r="CV21" i="5"/>
  <c r="CV22" i="5"/>
  <c r="CW21" i="5"/>
  <c r="CW22" i="5"/>
  <c r="CX21" i="5"/>
  <c r="CX22" i="5"/>
  <c r="CY21" i="5"/>
  <c r="CY22" i="5"/>
  <c r="CZ21" i="5"/>
  <c r="CZ22" i="5"/>
  <c r="DA21" i="5"/>
  <c r="DA22" i="5"/>
  <c r="DC21" i="5"/>
  <c r="DC22" i="5"/>
  <c r="DD21" i="5"/>
  <c r="DD22" i="5"/>
  <c r="DE21" i="5"/>
  <c r="DE22" i="5"/>
  <c r="DF21" i="5"/>
  <c r="DF22" i="5"/>
  <c r="DG21" i="5"/>
  <c r="DG22" i="5"/>
  <c r="DH21" i="5"/>
  <c r="DH22" i="5"/>
  <c r="DI21" i="5"/>
  <c r="DI22" i="5"/>
  <c r="DJ21" i="5"/>
  <c r="DJ22" i="5"/>
  <c r="DK21" i="5"/>
  <c r="DK22" i="5"/>
  <c r="DL21" i="5"/>
  <c r="DL22" i="5"/>
  <c r="DM21" i="5"/>
  <c r="DM22" i="5"/>
  <c r="DN21" i="5"/>
  <c r="DN22" i="5"/>
  <c r="V26" i="5"/>
  <c r="W25" i="5"/>
  <c r="A69" i="8"/>
  <c r="E69" i="8"/>
  <c r="C69" i="8"/>
  <c r="C8" i="3"/>
  <c r="AR29" i="5"/>
  <c r="BR29" i="5"/>
  <c r="W26" i="5"/>
  <c r="X25" i="5"/>
  <c r="BS29" i="5"/>
  <c r="BU8" i="5"/>
  <c r="BT23" i="5"/>
  <c r="AJ8" i="5"/>
  <c r="AI23" i="5"/>
  <c r="AI29" i="5"/>
  <c r="AS29" i="5"/>
  <c r="E70" i="8"/>
  <c r="A70" i="8"/>
  <c r="C70" i="8"/>
  <c r="AU8" i="5"/>
  <c r="AT23" i="5"/>
  <c r="V29" i="5"/>
  <c r="V30" i="5"/>
  <c r="V32" i="5"/>
  <c r="CS8" i="5"/>
  <c r="CR23" i="5"/>
  <c r="X8" i="5"/>
  <c r="W23" i="5"/>
  <c r="AV24" i="5"/>
  <c r="AU28" i="5"/>
  <c r="B55" i="8"/>
  <c r="F54" i="8"/>
  <c r="K6" i="16"/>
  <c r="K2" i="16"/>
  <c r="DF8" i="5"/>
  <c r="DE23" i="5"/>
  <c r="J18" i="3"/>
  <c r="J21" i="3"/>
  <c r="K21" i="3"/>
  <c r="J40" i="5"/>
  <c r="K40" i="5"/>
  <c r="B43" i="5"/>
  <c r="C13" i="3"/>
  <c r="V27" i="5"/>
  <c r="CG8" i="5"/>
  <c r="CF23" i="5"/>
  <c r="W27" i="5"/>
  <c r="W29" i="5"/>
  <c r="W30" i="5"/>
  <c r="W32" i="5"/>
  <c r="DG8" i="5"/>
  <c r="DF23" i="5"/>
  <c r="Y8" i="5"/>
  <c r="X23" i="5"/>
  <c r="X29" i="5"/>
  <c r="X30" i="5"/>
  <c r="BT29" i="5"/>
  <c r="B56" i="8"/>
  <c r="F55" i="8"/>
  <c r="AK8" i="5"/>
  <c r="AJ23" i="5"/>
  <c r="BV8" i="5"/>
  <c r="BU23" i="5"/>
  <c r="CH8" i="5"/>
  <c r="CG23" i="5"/>
  <c r="CT8" i="5"/>
  <c r="CS23" i="5"/>
  <c r="A71" i="8"/>
  <c r="E71" i="8"/>
  <c r="C71" i="8"/>
  <c r="AV8" i="5"/>
  <c r="AU23" i="5"/>
  <c r="AU29" i="5"/>
  <c r="L18" i="3"/>
  <c r="L21" i="3"/>
  <c r="B42" i="5"/>
  <c r="C12" i="3"/>
  <c r="AV28" i="5"/>
  <c r="AW24" i="5"/>
  <c r="X26" i="5"/>
  <c r="Y25" i="5"/>
  <c r="Y26" i="5"/>
  <c r="Z25" i="5"/>
  <c r="AT29" i="5"/>
  <c r="X32" i="5"/>
  <c r="B36" i="5"/>
  <c r="C9" i="3"/>
  <c r="AW8" i="5"/>
  <c r="AV23" i="5"/>
  <c r="CI8" i="5"/>
  <c r="CH23" i="5"/>
  <c r="DH8" i="5"/>
  <c r="DG23" i="5"/>
  <c r="AX24" i="5"/>
  <c r="AW28" i="5"/>
  <c r="CU8" i="5"/>
  <c r="CT23" i="5"/>
  <c r="BU29" i="5"/>
  <c r="X27" i="5"/>
  <c r="Y27" i="5"/>
  <c r="BW8" i="5"/>
  <c r="BV23" i="5"/>
  <c r="BV29" i="5"/>
  <c r="B57" i="8"/>
  <c r="F56" i="8"/>
  <c r="AJ29" i="5"/>
  <c r="AV29" i="5"/>
  <c r="A72" i="8"/>
  <c r="E72" i="8"/>
  <c r="C72" i="8"/>
  <c r="AL8" i="5"/>
  <c r="AK23" i="5"/>
  <c r="AK29" i="5"/>
  <c r="Z8" i="5"/>
  <c r="Y23" i="5"/>
  <c r="E73" i="8"/>
  <c r="A73" i="8"/>
  <c r="C73" i="8"/>
  <c r="AY24" i="5"/>
  <c r="AX28" i="5"/>
  <c r="DI8" i="5"/>
  <c r="DH23" i="5"/>
  <c r="AA8" i="5"/>
  <c r="AA23" i="5"/>
  <c r="Z23" i="5"/>
  <c r="Z29" i="5"/>
  <c r="Z30" i="5"/>
  <c r="Z26" i="5"/>
  <c r="AA25" i="5"/>
  <c r="B58" i="8"/>
  <c r="F57" i="8"/>
  <c r="AX8" i="5"/>
  <c r="AW23" i="5"/>
  <c r="AM8" i="5"/>
  <c r="AL23" i="5"/>
  <c r="AL29" i="5"/>
  <c r="CV8" i="5"/>
  <c r="CU23" i="5"/>
  <c r="Y29" i="5"/>
  <c r="Y30" i="5"/>
  <c r="Y32" i="5"/>
  <c r="BX8" i="5"/>
  <c r="BW23" i="5"/>
  <c r="BW29" i="5"/>
  <c r="CJ8" i="5"/>
  <c r="CI23" i="5"/>
  <c r="AA26" i="5"/>
  <c r="AC25" i="5"/>
  <c r="AC26" i="5"/>
  <c r="AC27" i="5"/>
  <c r="AA29" i="5"/>
  <c r="AA30" i="5"/>
  <c r="AH30" i="5"/>
  <c r="AW29" i="5"/>
  <c r="DJ8" i="5"/>
  <c r="DI23" i="5"/>
  <c r="A74" i="8"/>
  <c r="E74" i="8"/>
  <c r="C74" i="8"/>
  <c r="AY8" i="5"/>
  <c r="AX23" i="5"/>
  <c r="AX29" i="5"/>
  <c r="B59" i="8"/>
  <c r="F58" i="8"/>
  <c r="CK8" i="5"/>
  <c r="CJ23" i="5"/>
  <c r="CW8" i="5"/>
  <c r="CV23" i="5"/>
  <c r="AN8" i="5"/>
  <c r="AN23" i="5"/>
  <c r="AM23" i="5"/>
  <c r="BY8" i="5"/>
  <c r="BX23" i="5"/>
  <c r="BX29" i="5"/>
  <c r="Z27" i="5"/>
  <c r="AA27" i="5"/>
  <c r="Z32" i="5"/>
  <c r="AY28" i="5"/>
  <c r="AZ24" i="5"/>
  <c r="AD25" i="5"/>
  <c r="AD26" i="5"/>
  <c r="AE25" i="5"/>
  <c r="AE26" i="5"/>
  <c r="AF25" i="5"/>
  <c r="AF26" i="5"/>
  <c r="AG25" i="5"/>
  <c r="AG26" i="5"/>
  <c r="AH25" i="5"/>
  <c r="AH26" i="5"/>
  <c r="AI25" i="5"/>
  <c r="AI26" i="5"/>
  <c r="AJ25" i="5"/>
  <c r="AJ26" i="5"/>
  <c r="AK25" i="5"/>
  <c r="AK26" i="5"/>
  <c r="AL25" i="5"/>
  <c r="AL26" i="5"/>
  <c r="AM25" i="5"/>
  <c r="AM26" i="5"/>
  <c r="AN25" i="5"/>
  <c r="AD27" i="5"/>
  <c r="AE27" i="5"/>
  <c r="AF27" i="5"/>
  <c r="AG27" i="5"/>
  <c r="AH27" i="5"/>
  <c r="AI27" i="5"/>
  <c r="AJ27" i="5"/>
  <c r="AK27" i="5"/>
  <c r="AL27" i="5"/>
  <c r="AM27" i="5"/>
  <c r="AL30" i="5"/>
  <c r="AE30" i="5"/>
  <c r="AA32" i="5"/>
  <c r="AK30" i="5"/>
  <c r="AD30" i="5"/>
  <c r="AG30" i="5"/>
  <c r="AF30" i="5"/>
  <c r="AC30" i="5"/>
  <c r="AC32" i="5"/>
  <c r="AJ30" i="5"/>
  <c r="AI30" i="5"/>
  <c r="AN29" i="5"/>
  <c r="AN30" i="5"/>
  <c r="AM29" i="5"/>
  <c r="AM30" i="5"/>
  <c r="DK8" i="5"/>
  <c r="DJ23" i="5"/>
  <c r="CL8" i="5"/>
  <c r="CK23" i="5"/>
  <c r="AN26" i="5"/>
  <c r="AP25" i="5"/>
  <c r="AP26" i="5"/>
  <c r="AQ25" i="5"/>
  <c r="AQ26" i="5"/>
  <c r="AR25" i="5"/>
  <c r="AR26" i="5"/>
  <c r="AS25" i="5"/>
  <c r="AS26" i="5"/>
  <c r="AT25" i="5"/>
  <c r="AT26" i="5"/>
  <c r="AU25" i="5"/>
  <c r="AU26" i="5"/>
  <c r="AV25" i="5"/>
  <c r="AV26" i="5"/>
  <c r="AW25" i="5"/>
  <c r="AW26" i="5"/>
  <c r="AX25" i="5"/>
  <c r="AX26" i="5"/>
  <c r="AY25" i="5"/>
  <c r="AY26" i="5"/>
  <c r="AZ25" i="5"/>
  <c r="AZ8" i="5"/>
  <c r="AY23" i="5"/>
  <c r="BA24" i="5"/>
  <c r="BA28" i="5"/>
  <c r="AZ28" i="5"/>
  <c r="BZ8" i="5"/>
  <c r="BY23" i="5"/>
  <c r="BY29" i="5"/>
  <c r="CX8" i="5"/>
  <c r="CW23" i="5"/>
  <c r="B60" i="8"/>
  <c r="F59" i="8"/>
  <c r="A75" i="8"/>
  <c r="E75" i="8"/>
  <c r="C75" i="8"/>
  <c r="AN27" i="5"/>
  <c r="AP27" i="5"/>
  <c r="AQ27" i="5"/>
  <c r="AR27" i="5"/>
  <c r="AS27" i="5"/>
  <c r="AT27" i="5"/>
  <c r="AU27" i="5"/>
  <c r="AV27" i="5"/>
  <c r="AW27" i="5"/>
  <c r="AX27" i="5"/>
  <c r="AY27" i="5"/>
  <c r="AZ26" i="5"/>
  <c r="AZ27" i="5"/>
  <c r="BA25" i="5"/>
  <c r="BA8" i="5"/>
  <c r="BA26" i="5"/>
  <c r="BA27" i="5"/>
  <c r="BC25" i="5"/>
  <c r="BC26" i="5"/>
  <c r="BC27" i="5"/>
  <c r="BD25" i="5"/>
  <c r="BD26" i="5"/>
  <c r="BD27" i="5"/>
  <c r="BE25" i="5"/>
  <c r="BE26" i="5"/>
  <c r="BE27" i="5"/>
  <c r="BF25" i="5"/>
  <c r="BF26" i="5"/>
  <c r="BF27" i="5"/>
  <c r="BG25" i="5"/>
  <c r="BG26" i="5"/>
  <c r="BG27" i="5"/>
  <c r="BH25" i="5"/>
  <c r="BH26" i="5"/>
  <c r="BH27" i="5"/>
  <c r="BI25" i="5"/>
  <c r="BI26" i="5"/>
  <c r="BI27" i="5"/>
  <c r="BJ25" i="5"/>
  <c r="BJ26" i="5"/>
  <c r="BJ27" i="5"/>
  <c r="BK25" i="5"/>
  <c r="BK26" i="5"/>
  <c r="BK27" i="5"/>
  <c r="BL25" i="5"/>
  <c r="BL26" i="5"/>
  <c r="BL27" i="5"/>
  <c r="BM25" i="5"/>
  <c r="BM26" i="5"/>
  <c r="BM27" i="5"/>
  <c r="BN25" i="5"/>
  <c r="BN26" i="5"/>
  <c r="BN27" i="5"/>
  <c r="BP25" i="5"/>
  <c r="BP26" i="5"/>
  <c r="BP27" i="5"/>
  <c r="BQ25" i="5"/>
  <c r="BQ26" i="5"/>
  <c r="BQ27" i="5"/>
  <c r="BR25" i="5"/>
  <c r="BR26" i="5"/>
  <c r="BR27" i="5"/>
  <c r="BS25" i="5"/>
  <c r="BS26" i="5"/>
  <c r="BS27" i="5"/>
  <c r="BT25" i="5"/>
  <c r="BT26" i="5"/>
  <c r="BT27" i="5"/>
  <c r="BU25" i="5"/>
  <c r="BU26" i="5"/>
  <c r="BU27" i="5"/>
  <c r="BV25" i="5"/>
  <c r="BV26" i="5"/>
  <c r="BV27" i="5"/>
  <c r="BW25" i="5"/>
  <c r="BW26" i="5"/>
  <c r="BW27" i="5"/>
  <c r="BX25" i="5"/>
  <c r="BX26" i="5"/>
  <c r="BX27" i="5"/>
  <c r="BY25" i="5"/>
  <c r="BY26" i="5"/>
  <c r="BY27" i="5"/>
  <c r="BZ25" i="5"/>
  <c r="BZ26" i="5"/>
  <c r="BZ27" i="5"/>
  <c r="CA25" i="5"/>
  <c r="CA8" i="5"/>
  <c r="CA26" i="5"/>
  <c r="CA27" i="5"/>
  <c r="CC25" i="5"/>
  <c r="CC26" i="5"/>
  <c r="CC27" i="5"/>
  <c r="CD25" i="5"/>
  <c r="CD26" i="5"/>
  <c r="CD27" i="5"/>
  <c r="CE25" i="5"/>
  <c r="CE26" i="5"/>
  <c r="CE27" i="5"/>
  <c r="CF25" i="5"/>
  <c r="CF26" i="5"/>
  <c r="CF27" i="5"/>
  <c r="CG25" i="5"/>
  <c r="CG26" i="5"/>
  <c r="CG27" i="5"/>
  <c r="CH25" i="5"/>
  <c r="CH26" i="5"/>
  <c r="CH27" i="5"/>
  <c r="CI25" i="5"/>
  <c r="CI26" i="5"/>
  <c r="CI27" i="5"/>
  <c r="CJ25" i="5"/>
  <c r="CJ26" i="5"/>
  <c r="CJ27" i="5"/>
  <c r="CK25" i="5"/>
  <c r="CK26" i="5"/>
  <c r="CK27" i="5"/>
  <c r="CL25" i="5"/>
  <c r="CL26" i="5"/>
  <c r="CL27" i="5"/>
  <c r="CM25" i="5"/>
  <c r="CM8" i="5"/>
  <c r="CM26" i="5"/>
  <c r="CM27" i="5"/>
  <c r="CN25" i="5"/>
  <c r="CN8" i="5"/>
  <c r="CN26" i="5"/>
  <c r="CN27" i="5"/>
  <c r="CP25" i="5"/>
  <c r="CP26" i="5"/>
  <c r="CP27" i="5"/>
  <c r="CQ25" i="5"/>
  <c r="CQ26" i="5"/>
  <c r="CQ27" i="5"/>
  <c r="CR25" i="5"/>
  <c r="CR26" i="5"/>
  <c r="CR27" i="5"/>
  <c r="CS25" i="5"/>
  <c r="CS26" i="5"/>
  <c r="CS27" i="5"/>
  <c r="CT25" i="5"/>
  <c r="CT26" i="5"/>
  <c r="CT27" i="5"/>
  <c r="CU25" i="5"/>
  <c r="CU26" i="5"/>
  <c r="CU27" i="5"/>
  <c r="CV25" i="5"/>
  <c r="CV26" i="5"/>
  <c r="CV27" i="5"/>
  <c r="CW25" i="5"/>
  <c r="CW26" i="5"/>
  <c r="CW27" i="5"/>
  <c r="CX25" i="5"/>
  <c r="CX26" i="5"/>
  <c r="CX27" i="5"/>
  <c r="CY25" i="5"/>
  <c r="CY8" i="5"/>
  <c r="CY26" i="5"/>
  <c r="CY27" i="5"/>
  <c r="CZ25" i="5"/>
  <c r="CZ8" i="5"/>
  <c r="CZ26" i="5"/>
  <c r="CZ27" i="5"/>
  <c r="DA25" i="5"/>
  <c r="DA8" i="5"/>
  <c r="DA26" i="5"/>
  <c r="DA27" i="5"/>
  <c r="DC25" i="5"/>
  <c r="DC26" i="5"/>
  <c r="DC27" i="5"/>
  <c r="DD25" i="5"/>
  <c r="DD26" i="5"/>
  <c r="DD27" i="5"/>
  <c r="DE25" i="5"/>
  <c r="DE26" i="5"/>
  <c r="DE27" i="5"/>
  <c r="DF25" i="5"/>
  <c r="DF26" i="5"/>
  <c r="DF27" i="5"/>
  <c r="DG25" i="5"/>
  <c r="DG26" i="5"/>
  <c r="DG27" i="5"/>
  <c r="DH25" i="5"/>
  <c r="DH26" i="5"/>
  <c r="DH27" i="5"/>
  <c r="DI25" i="5"/>
  <c r="DI26" i="5"/>
  <c r="DI27" i="5"/>
  <c r="DJ25" i="5"/>
  <c r="DJ26" i="5"/>
  <c r="DJ27" i="5"/>
  <c r="DK25" i="5"/>
  <c r="DK26" i="5"/>
  <c r="DK27" i="5"/>
  <c r="DL25" i="5"/>
  <c r="DL8" i="5"/>
  <c r="DL26" i="5"/>
  <c r="DL27" i="5"/>
  <c r="DM25" i="5"/>
  <c r="DM8" i="5"/>
  <c r="DM26" i="5"/>
  <c r="DM27" i="5"/>
  <c r="DN25" i="5"/>
  <c r="DN8" i="5"/>
  <c r="DN26" i="5"/>
  <c r="DN27" i="5"/>
  <c r="B27" i="5"/>
  <c r="C5" i="3"/>
  <c r="AD32" i="5"/>
  <c r="AE32" i="5"/>
  <c r="AF32" i="5"/>
  <c r="AG32" i="5"/>
  <c r="AH32" i="5"/>
  <c r="AI32" i="5"/>
  <c r="AJ32" i="5"/>
  <c r="AK32" i="5"/>
  <c r="AL32" i="5"/>
  <c r="AM32" i="5"/>
  <c r="AN32" i="5"/>
  <c r="CL23" i="5"/>
  <c r="CX23" i="5"/>
  <c r="E76" i="8"/>
  <c r="A76" i="8"/>
  <c r="C76" i="8"/>
  <c r="AT30" i="5"/>
  <c r="AS30" i="5"/>
  <c r="AW30" i="5"/>
  <c r="AR30" i="5"/>
  <c r="AV30" i="5"/>
  <c r="AQ30" i="5"/>
  <c r="AX30" i="5"/>
  <c r="AU30" i="5"/>
  <c r="AP30" i="5"/>
  <c r="AP32" i="5"/>
  <c r="AY29" i="5"/>
  <c r="AY30" i="5"/>
  <c r="BA23" i="5"/>
  <c r="BL29" i="5"/>
  <c r="AZ23" i="5"/>
  <c r="BF29" i="5"/>
  <c r="B61" i="8"/>
  <c r="F60" i="8"/>
  <c r="CA23" i="5"/>
  <c r="BZ23" i="5"/>
  <c r="DK23" i="5"/>
  <c r="AQ32" i="5"/>
  <c r="AR32" i="5"/>
  <c r="AS32" i="5"/>
  <c r="AT32" i="5"/>
  <c r="AU32" i="5"/>
  <c r="AV32" i="5"/>
  <c r="AW32" i="5"/>
  <c r="AX32" i="5"/>
  <c r="AY32" i="5"/>
  <c r="AZ29" i="5"/>
  <c r="AZ30" i="5"/>
  <c r="AZ32" i="5"/>
  <c r="BA29" i="5"/>
  <c r="BA30" i="5"/>
  <c r="BA32" i="5"/>
  <c r="CF29" i="5"/>
  <c r="CL29" i="5"/>
  <c r="BH29" i="5"/>
  <c r="BD29" i="5"/>
  <c r="BJ29" i="5"/>
  <c r="CY23" i="5"/>
  <c r="CC29" i="5"/>
  <c r="BG29" i="5"/>
  <c r="CH29" i="5"/>
  <c r="CD29" i="5"/>
  <c r="B62" i="8"/>
  <c r="F61" i="8"/>
  <c r="CK29" i="5"/>
  <c r="CI29" i="5"/>
  <c r="CG29" i="5"/>
  <c r="CA29" i="5"/>
  <c r="CE29" i="5"/>
  <c r="BK29" i="5"/>
  <c r="BE29" i="5"/>
  <c r="BI29" i="5"/>
  <c r="BZ29" i="5"/>
  <c r="DL23" i="5"/>
  <c r="CJ29" i="5"/>
  <c r="BC29" i="5"/>
  <c r="A77" i="8"/>
  <c r="E77" i="8"/>
  <c r="C77" i="8"/>
  <c r="CN23" i="5"/>
  <c r="CM23" i="5"/>
  <c r="A78" i="8"/>
  <c r="E78" i="8"/>
  <c r="C78" i="8"/>
  <c r="CX29" i="5"/>
  <c r="CS29" i="5"/>
  <c r="CR29" i="5"/>
  <c r="CT29" i="5"/>
  <c r="CP29" i="5"/>
  <c r="CM29" i="5"/>
  <c r="CN29" i="5"/>
  <c r="B63" i="8"/>
  <c r="F62" i="8"/>
  <c r="DA23" i="5"/>
  <c r="DL29" i="5"/>
  <c r="CZ23" i="5"/>
  <c r="DN23" i="5"/>
  <c r="DM23" i="5"/>
  <c r="CY29" i="5"/>
  <c r="CV29" i="5"/>
  <c r="CU29" i="5"/>
  <c r="CQ29" i="5"/>
  <c r="BD30" i="5"/>
  <c r="BH30" i="5"/>
  <c r="BE30" i="5"/>
  <c r="BC30" i="5"/>
  <c r="BC32" i="5"/>
  <c r="BD32" i="5"/>
  <c r="BE32" i="5"/>
  <c r="BF30" i="5"/>
  <c r="BF32" i="5"/>
  <c r="BG30" i="5"/>
  <c r="BG32" i="5"/>
  <c r="BH32" i="5"/>
  <c r="BI30" i="5"/>
  <c r="BI32" i="5"/>
  <c r="BJ30" i="5"/>
  <c r="BJ32" i="5"/>
  <c r="BK30" i="5"/>
  <c r="BK32" i="5"/>
  <c r="BL30" i="5"/>
  <c r="BL32" i="5"/>
  <c r="BM30" i="5"/>
  <c r="BM32" i="5"/>
  <c r="BN30" i="5"/>
  <c r="BN32" i="5"/>
  <c r="CW29" i="5"/>
  <c r="DN29" i="5"/>
  <c r="DK29" i="5"/>
  <c r="DC29" i="5"/>
  <c r="DJ29" i="5"/>
  <c r="DH29" i="5"/>
  <c r="DG29" i="5"/>
  <c r="DE29" i="5"/>
  <c r="BT30" i="5"/>
  <c r="BP30" i="5"/>
  <c r="BP32" i="5"/>
  <c r="BQ30" i="5"/>
  <c r="BQ32" i="5"/>
  <c r="BR30" i="5"/>
  <c r="BR32" i="5"/>
  <c r="BS30" i="5"/>
  <c r="BS32" i="5"/>
  <c r="BT32" i="5"/>
  <c r="BU30" i="5"/>
  <c r="BU32" i="5"/>
  <c r="BV30" i="5"/>
  <c r="BV32" i="5"/>
  <c r="BW30" i="5"/>
  <c r="BW32" i="5"/>
  <c r="BX30" i="5"/>
  <c r="BX32" i="5"/>
  <c r="BY30" i="5"/>
  <c r="BY32" i="5"/>
  <c r="BZ30" i="5"/>
  <c r="BZ32" i="5"/>
  <c r="CA30" i="5"/>
  <c r="CA32" i="5"/>
  <c r="CZ29" i="5"/>
  <c r="B64" i="8"/>
  <c r="F63" i="8"/>
  <c r="E79" i="8"/>
  <c r="A79" i="8"/>
  <c r="C79" i="8"/>
  <c r="DI29" i="5"/>
  <c r="DA29" i="5"/>
  <c r="DF29" i="5"/>
  <c r="DD29" i="5"/>
  <c r="DM29" i="5"/>
  <c r="B65" i="8"/>
  <c r="F64" i="8"/>
  <c r="CD30" i="5"/>
  <c r="CH30" i="5"/>
  <c r="CG30" i="5"/>
  <c r="CC30" i="5"/>
  <c r="CC32" i="5"/>
  <c r="CD32" i="5"/>
  <c r="CE30" i="5"/>
  <c r="CE32" i="5"/>
  <c r="CF30" i="5"/>
  <c r="CF32" i="5"/>
  <c r="CG32" i="5"/>
  <c r="CH32" i="5"/>
  <c r="CI30" i="5"/>
  <c r="CI32" i="5"/>
  <c r="CJ30" i="5"/>
  <c r="CJ32" i="5"/>
  <c r="CK30" i="5"/>
  <c r="CK32" i="5"/>
  <c r="CL30" i="5"/>
  <c r="CL32" i="5"/>
  <c r="CM30" i="5"/>
  <c r="CM32" i="5"/>
  <c r="CN30" i="5"/>
  <c r="CN32" i="5"/>
  <c r="CP30" i="5"/>
  <c r="CP32" i="5"/>
  <c r="CQ30" i="5"/>
  <c r="CQ32" i="5"/>
  <c r="CR30" i="5"/>
  <c r="CR32" i="5"/>
  <c r="CS30" i="5"/>
  <c r="CS32" i="5"/>
  <c r="CT30" i="5"/>
  <c r="CT32" i="5"/>
  <c r="CU30" i="5"/>
  <c r="CU32" i="5"/>
  <c r="CV30" i="5"/>
  <c r="CV32" i="5"/>
  <c r="CW30" i="5"/>
  <c r="CW32" i="5"/>
  <c r="CX30" i="5"/>
  <c r="CX32" i="5"/>
  <c r="CY30" i="5"/>
  <c r="CY32" i="5"/>
  <c r="CZ30" i="5"/>
  <c r="CZ32" i="5"/>
  <c r="DA30" i="5"/>
  <c r="DA32" i="5"/>
  <c r="DC30" i="5"/>
  <c r="DC32" i="5"/>
  <c r="DD30" i="5"/>
  <c r="DD32" i="5"/>
  <c r="DE30" i="5"/>
  <c r="DE32" i="5"/>
  <c r="DF30" i="5"/>
  <c r="DF32" i="5"/>
  <c r="DG30" i="5"/>
  <c r="DG32" i="5"/>
  <c r="DH30" i="5"/>
  <c r="DH32" i="5"/>
  <c r="DI30" i="5"/>
  <c r="DI32" i="5"/>
  <c r="DJ30" i="5"/>
  <c r="DJ32" i="5"/>
  <c r="DK30" i="5"/>
  <c r="DK32" i="5"/>
  <c r="DL30" i="5"/>
  <c r="DL32" i="5"/>
  <c r="DM30" i="5"/>
  <c r="DM32" i="5"/>
  <c r="DN30" i="5"/>
  <c r="DN32" i="5"/>
  <c r="B32" i="5"/>
  <c r="C6" i="3"/>
  <c r="A80" i="8"/>
  <c r="E80" i="8"/>
  <c r="C80" i="8"/>
  <c r="A81" i="8"/>
  <c r="E81" i="8"/>
  <c r="C81" i="8"/>
  <c r="F65" i="8"/>
  <c r="B66" i="8"/>
  <c r="B67" i="8"/>
  <c r="F66" i="8"/>
  <c r="E82" i="8"/>
  <c r="A82" i="8"/>
  <c r="C82" i="8"/>
  <c r="A83" i="8"/>
  <c r="E83" i="8"/>
  <c r="C83" i="8"/>
  <c r="B68" i="8"/>
  <c r="F67" i="8"/>
  <c r="B69" i="8"/>
  <c r="F68" i="8"/>
  <c r="A84" i="8"/>
  <c r="E84" i="8"/>
  <c r="C84" i="8"/>
  <c r="A85" i="8"/>
  <c r="E85" i="8"/>
  <c r="C85" i="8"/>
  <c r="B70" i="8"/>
  <c r="F69" i="8"/>
  <c r="B71" i="8"/>
  <c r="F70" i="8"/>
  <c r="A86" i="8"/>
  <c r="E86" i="8"/>
  <c r="C86" i="8"/>
  <c r="A87" i="8"/>
  <c r="E87" i="8"/>
  <c r="C87" i="8"/>
  <c r="B72" i="8"/>
  <c r="F71" i="8"/>
  <c r="F72" i="8"/>
  <c r="B73" i="8"/>
  <c r="A88" i="8"/>
  <c r="E88" i="8"/>
  <c r="C88" i="8"/>
  <c r="A89" i="8"/>
  <c r="E89" i="8"/>
  <c r="C89" i="8"/>
  <c r="B74" i="8"/>
  <c r="F73" i="8"/>
  <c r="B75" i="8"/>
  <c r="F74" i="8"/>
  <c r="E90" i="8"/>
  <c r="A90" i="8"/>
  <c r="C90" i="8"/>
  <c r="A91" i="8"/>
  <c r="E91" i="8"/>
  <c r="C91" i="8"/>
  <c r="B76" i="8"/>
  <c r="F75" i="8"/>
  <c r="B77" i="8"/>
  <c r="F76" i="8"/>
  <c r="A92" i="8"/>
  <c r="E92" i="8"/>
  <c r="C92" i="8"/>
  <c r="A93" i="8"/>
  <c r="E93" i="8"/>
  <c r="C93" i="8"/>
  <c r="B78" i="8"/>
  <c r="F77" i="8"/>
  <c r="F78" i="8"/>
  <c r="B79" i="8"/>
  <c r="E94" i="8"/>
  <c r="A94" i="8"/>
  <c r="C94" i="8"/>
  <c r="A95" i="8"/>
  <c r="E95" i="8"/>
  <c r="C95" i="8"/>
  <c r="B80" i="8"/>
  <c r="F79" i="8"/>
  <c r="B81" i="8"/>
  <c r="F80" i="8"/>
  <c r="E96" i="8"/>
  <c r="A96" i="8"/>
  <c r="C96" i="8"/>
  <c r="A97" i="8"/>
  <c r="E97" i="8"/>
  <c r="C97" i="8"/>
  <c r="B82" i="8"/>
  <c r="F81" i="8"/>
  <c r="B83" i="8"/>
  <c r="F82" i="8"/>
  <c r="E98" i="8"/>
  <c r="A98" i="8"/>
  <c r="C98" i="8"/>
  <c r="A99" i="8"/>
  <c r="E99" i="8"/>
  <c r="C99" i="8"/>
  <c r="B84" i="8"/>
  <c r="F83" i="8"/>
  <c r="F84" i="8"/>
  <c r="B85" i="8"/>
  <c r="E100" i="8"/>
  <c r="A100" i="8"/>
  <c r="C100" i="8"/>
  <c r="A101" i="8"/>
  <c r="E101" i="8"/>
  <c r="C101" i="8"/>
  <c r="B86" i="8"/>
  <c r="F85" i="8"/>
  <c r="B87" i="8"/>
  <c r="F86" i="8"/>
  <c r="E102" i="8"/>
  <c r="A102" i="8"/>
  <c r="C102" i="8"/>
  <c r="A103" i="8"/>
  <c r="E103" i="8"/>
  <c r="C103" i="8"/>
  <c r="B88" i="8"/>
  <c r="F87" i="8"/>
  <c r="B89" i="8"/>
  <c r="F88" i="8"/>
  <c r="E104" i="8"/>
  <c r="A104" i="8"/>
  <c r="C104" i="8"/>
  <c r="A105" i="8"/>
  <c r="E105" i="8"/>
  <c r="C105" i="8"/>
  <c r="B90" i="8"/>
  <c r="F89" i="8"/>
  <c r="F90" i="8"/>
  <c r="B91" i="8"/>
  <c r="E106" i="8"/>
  <c r="A106" i="8"/>
  <c r="C106" i="8"/>
  <c r="A107" i="8"/>
  <c r="E107" i="8"/>
  <c r="C107" i="8"/>
  <c r="B92" i="8"/>
  <c r="F91" i="8"/>
  <c r="B93" i="8"/>
  <c r="F92" i="8"/>
  <c r="E108" i="8"/>
  <c r="A108" i="8"/>
  <c r="C108" i="8"/>
  <c r="A109" i="8"/>
  <c r="E109" i="8"/>
  <c r="C109" i="8"/>
  <c r="B94" i="8"/>
  <c r="F93" i="8"/>
  <c r="B95" i="8"/>
  <c r="F94" i="8"/>
  <c r="E110" i="8"/>
  <c r="A110" i="8"/>
  <c r="C110" i="8"/>
  <c r="A111" i="8"/>
  <c r="E111" i="8"/>
  <c r="C111" i="8"/>
  <c r="B96" i="8"/>
  <c r="F95" i="8"/>
  <c r="B97" i="8"/>
  <c r="F96" i="8"/>
  <c r="E112" i="8"/>
  <c r="C112" i="8"/>
  <c r="A112" i="8"/>
  <c r="A113" i="8"/>
  <c r="E113" i="8"/>
  <c r="C113" i="8"/>
  <c r="B98" i="8"/>
  <c r="F97" i="8"/>
  <c r="B99" i="8"/>
  <c r="F98" i="8"/>
  <c r="E114" i="8"/>
  <c r="A114" i="8"/>
  <c r="C114" i="8"/>
  <c r="A115" i="8"/>
  <c r="E115" i="8"/>
  <c r="C115" i="8"/>
  <c r="F99" i="8"/>
  <c r="B100" i="8"/>
  <c r="B101" i="8"/>
  <c r="F100" i="8"/>
  <c r="E116" i="8"/>
  <c r="A116" i="8"/>
  <c r="C116" i="8"/>
  <c r="A117" i="8"/>
  <c r="E117" i="8"/>
  <c r="C117" i="8"/>
  <c r="B102" i="8"/>
  <c r="F101" i="8"/>
  <c r="B103" i="8"/>
  <c r="F102" i="8"/>
  <c r="E118" i="8"/>
  <c r="A118" i="8"/>
  <c r="C118" i="8"/>
  <c r="A119" i="8"/>
  <c r="E119" i="8"/>
  <c r="C119" i="8"/>
  <c r="B104" i="8"/>
  <c r="F103" i="8"/>
  <c r="B105" i="8"/>
  <c r="F104" i="8"/>
  <c r="E120" i="8"/>
  <c r="A120" i="8"/>
  <c r="C120" i="8"/>
  <c r="A121" i="8"/>
  <c r="E121" i="8"/>
  <c r="C121" i="8"/>
  <c r="B106" i="8"/>
  <c r="F105" i="8"/>
  <c r="B107" i="8"/>
  <c r="F106" i="8"/>
  <c r="E122" i="8"/>
  <c r="A122" i="8"/>
  <c r="C122" i="8"/>
  <c r="A123" i="8"/>
  <c r="E123" i="8"/>
  <c r="C123" i="8"/>
  <c r="B108" i="8"/>
  <c r="F107" i="8"/>
  <c r="B109" i="8"/>
  <c r="F108" i="8"/>
  <c r="E124" i="8"/>
  <c r="C124" i="8"/>
  <c r="A124" i="8"/>
  <c r="A125" i="8"/>
  <c r="E125" i="8"/>
  <c r="C125" i="8"/>
  <c r="B110" i="8"/>
  <c r="F109" i="8"/>
  <c r="B111" i="8"/>
  <c r="F110" i="8"/>
  <c r="E126" i="8"/>
  <c r="A126" i="8"/>
  <c r="C126" i="8"/>
  <c r="A127" i="8"/>
  <c r="E127" i="8"/>
  <c r="C127" i="8"/>
  <c r="F111" i="8"/>
  <c r="B112" i="8"/>
  <c r="B113" i="8"/>
  <c r="F112" i="8"/>
  <c r="E128" i="8"/>
  <c r="C128" i="8"/>
  <c r="A128" i="8"/>
  <c r="A129" i="8"/>
  <c r="E129" i="8"/>
  <c r="C129" i="8"/>
  <c r="B114" i="8"/>
  <c r="F113" i="8"/>
  <c r="B115" i="8"/>
  <c r="F114" i="8"/>
  <c r="E130" i="8"/>
  <c r="A130" i="8"/>
  <c r="C130" i="8"/>
  <c r="A131" i="8"/>
  <c r="E131" i="8"/>
  <c r="C131" i="8"/>
  <c r="B116" i="8"/>
  <c r="F115" i="8"/>
  <c r="B117" i="8"/>
  <c r="F116" i="8"/>
  <c r="E132" i="8"/>
  <c r="A132" i="8"/>
  <c r="C132" i="8"/>
  <c r="A133" i="8"/>
  <c r="E133" i="8"/>
  <c r="C133" i="8"/>
  <c r="B118" i="8"/>
  <c r="F117" i="8"/>
  <c r="B119" i="8"/>
  <c r="F118" i="8"/>
  <c r="E134" i="8"/>
  <c r="A134" i="8"/>
  <c r="C134" i="8"/>
  <c r="A135" i="8"/>
  <c r="E135" i="8"/>
  <c r="C135" i="8"/>
  <c r="B120" i="8"/>
  <c r="F119" i="8"/>
  <c r="B121" i="8"/>
  <c r="F120" i="8"/>
  <c r="E136" i="8"/>
  <c r="C136" i="8"/>
  <c r="A136" i="8"/>
  <c r="A137" i="8"/>
  <c r="E137" i="8"/>
  <c r="C137" i="8"/>
  <c r="B122" i="8"/>
  <c r="F121" i="8"/>
  <c r="B123" i="8"/>
  <c r="F122" i="8"/>
  <c r="E138" i="8"/>
  <c r="A138" i="8"/>
  <c r="C138" i="8"/>
  <c r="A139" i="8"/>
  <c r="E139" i="8"/>
  <c r="C139" i="8"/>
  <c r="F123" i="8"/>
  <c r="B124" i="8"/>
  <c r="B125" i="8"/>
  <c r="F124" i="8"/>
  <c r="E140" i="8"/>
  <c r="C140" i="8"/>
  <c r="A140" i="8"/>
  <c r="A141" i="8"/>
  <c r="E141" i="8"/>
  <c r="C141" i="8"/>
  <c r="B126" i="8"/>
  <c r="F125" i="8"/>
  <c r="B127" i="8"/>
  <c r="F126" i="8"/>
  <c r="E142" i="8"/>
  <c r="A142" i="8"/>
  <c r="C142" i="8"/>
  <c r="A143" i="8"/>
  <c r="E143" i="8"/>
  <c r="C143" i="8"/>
  <c r="B128" i="8"/>
  <c r="F127" i="8"/>
  <c r="B129" i="8"/>
  <c r="F128" i="8"/>
  <c r="E144" i="8"/>
  <c r="A144" i="8"/>
  <c r="C144" i="8"/>
  <c r="A145" i="8"/>
  <c r="E145" i="8"/>
  <c r="C145" i="8"/>
  <c r="B130" i="8"/>
  <c r="F129" i="8"/>
  <c r="B131" i="8"/>
  <c r="F130" i="8"/>
  <c r="E146" i="8"/>
  <c r="A146" i="8"/>
  <c r="C146" i="8"/>
  <c r="A147" i="8"/>
  <c r="E147" i="8"/>
  <c r="C147" i="8"/>
  <c r="B132" i="8"/>
  <c r="F131" i="8"/>
  <c r="B133" i="8"/>
  <c r="F132" i="8"/>
  <c r="E148" i="8"/>
  <c r="C148" i="8"/>
  <c r="A148" i="8"/>
  <c r="A149" i="8"/>
  <c r="E149" i="8"/>
  <c r="C149" i="8"/>
  <c r="B134" i="8"/>
  <c r="F133" i="8"/>
  <c r="B135" i="8"/>
  <c r="F134" i="8"/>
  <c r="E150" i="8"/>
  <c r="A150" i="8"/>
  <c r="C150" i="8"/>
  <c r="A151" i="8"/>
  <c r="E151" i="8"/>
  <c r="C151" i="8"/>
  <c r="F135" i="8"/>
  <c r="B136" i="8"/>
  <c r="B137" i="8"/>
  <c r="F136" i="8"/>
  <c r="E152" i="8"/>
  <c r="A152" i="8"/>
  <c r="C152" i="8"/>
  <c r="A153" i="8"/>
  <c r="E153" i="8"/>
  <c r="C153" i="8"/>
  <c r="B138" i="8"/>
  <c r="F137" i="8"/>
  <c r="B139" i="8"/>
  <c r="F138" i="8"/>
  <c r="E154" i="8"/>
  <c r="A154" i="8"/>
  <c r="C154" i="8"/>
  <c r="A155" i="8"/>
  <c r="E155" i="8"/>
  <c r="C155" i="8"/>
  <c r="B140" i="8"/>
  <c r="F139" i="8"/>
  <c r="B141" i="8"/>
  <c r="F140" i="8"/>
  <c r="E156" i="8"/>
  <c r="A156" i="8"/>
  <c r="C156" i="8"/>
  <c r="A157" i="8"/>
  <c r="E157" i="8"/>
  <c r="C157" i="8"/>
  <c r="B142" i="8"/>
  <c r="F141" i="8"/>
  <c r="B143" i="8"/>
  <c r="F142" i="8"/>
  <c r="E158" i="8"/>
  <c r="A158" i="8"/>
  <c r="C158" i="8"/>
  <c r="A159" i="8"/>
  <c r="E159" i="8"/>
  <c r="C159" i="8"/>
  <c r="B144" i="8"/>
  <c r="F143" i="8"/>
  <c r="B145" i="8"/>
  <c r="F144" i="8"/>
  <c r="E160" i="8"/>
  <c r="C160" i="8"/>
  <c r="A160" i="8"/>
  <c r="A161" i="8"/>
  <c r="E161" i="8"/>
  <c r="C161" i="8"/>
  <c r="B146" i="8"/>
  <c r="F145" i="8"/>
  <c r="B147" i="8"/>
  <c r="F146" i="8"/>
  <c r="E162" i="8"/>
  <c r="A162" i="8"/>
  <c r="C162" i="8"/>
  <c r="A163" i="8"/>
  <c r="E163" i="8"/>
  <c r="C163" i="8"/>
  <c r="F147" i="8"/>
  <c r="B148" i="8"/>
  <c r="B149" i="8"/>
  <c r="F148" i="8"/>
  <c r="E164" i="8"/>
  <c r="A164" i="8"/>
  <c r="C164" i="8"/>
  <c r="A165" i="8"/>
  <c r="E165" i="8"/>
  <c r="C165" i="8"/>
  <c r="B150" i="8"/>
  <c r="F149" i="8"/>
  <c r="B151" i="8"/>
  <c r="F150" i="8"/>
  <c r="E166" i="8"/>
  <c r="A166" i="8"/>
  <c r="C166" i="8"/>
  <c r="A167" i="8"/>
  <c r="E167" i="8"/>
  <c r="C167" i="8"/>
  <c r="B152" i="8"/>
  <c r="F151" i="8"/>
  <c r="B153" i="8"/>
  <c r="F152" i="8"/>
  <c r="A168" i="8"/>
  <c r="E168" i="8"/>
  <c r="C168" i="8"/>
  <c r="A169" i="8"/>
  <c r="E169" i="8"/>
  <c r="C169" i="8"/>
  <c r="B154" i="8"/>
  <c r="F153" i="8"/>
  <c r="B155" i="8"/>
  <c r="F154" i="8"/>
  <c r="A170" i="8"/>
  <c r="E170" i="8"/>
  <c r="C170" i="8"/>
  <c r="A171" i="8"/>
  <c r="E171" i="8"/>
  <c r="C171" i="8"/>
  <c r="B156" i="8"/>
  <c r="F155" i="8"/>
  <c r="B157" i="8"/>
  <c r="F156" i="8"/>
  <c r="A172" i="8"/>
  <c r="E172" i="8"/>
  <c r="C172" i="8"/>
  <c r="A173" i="8"/>
  <c r="E173" i="8"/>
  <c r="C173" i="8"/>
  <c r="B158" i="8"/>
  <c r="F157" i="8"/>
  <c r="F158" i="8"/>
  <c r="B159" i="8"/>
  <c r="E174" i="8"/>
  <c r="A174" i="8"/>
  <c r="C174" i="8"/>
  <c r="A175" i="8"/>
  <c r="E175" i="8"/>
  <c r="C175" i="8"/>
  <c r="B160" i="8"/>
  <c r="F159" i="8"/>
  <c r="B161" i="8"/>
  <c r="F160" i="8"/>
  <c r="E176" i="8"/>
  <c r="A176" i="8"/>
  <c r="C176" i="8"/>
  <c r="A177" i="8"/>
  <c r="E177" i="8"/>
  <c r="C177" i="8"/>
  <c r="B162" i="8"/>
  <c r="F161" i="8"/>
  <c r="F162" i="8"/>
  <c r="B163" i="8"/>
  <c r="E178" i="8"/>
  <c r="A178" i="8"/>
  <c r="C178" i="8"/>
  <c r="A179" i="8"/>
  <c r="E179" i="8"/>
  <c r="C179" i="8"/>
  <c r="B164" i="8"/>
  <c r="F163" i="8"/>
  <c r="B165" i="8"/>
  <c r="F164" i="8"/>
  <c r="E180" i="8"/>
  <c r="A180" i="8"/>
  <c r="C180" i="8"/>
  <c r="A181" i="8"/>
  <c r="E181" i="8"/>
  <c r="C181" i="8"/>
  <c r="B166" i="8"/>
  <c r="F165" i="8"/>
  <c r="B167" i="8"/>
  <c r="F166" i="8"/>
  <c r="E182" i="8"/>
  <c r="A182" i="8"/>
  <c r="C182" i="8"/>
  <c r="A183" i="8"/>
  <c r="E183" i="8"/>
  <c r="C183" i="8"/>
  <c r="B168" i="8"/>
  <c r="F167" i="8"/>
  <c r="B169" i="8"/>
  <c r="F168" i="8"/>
  <c r="E184" i="8"/>
  <c r="A184" i="8"/>
  <c r="C184" i="8"/>
  <c r="A185" i="8"/>
  <c r="E185" i="8"/>
  <c r="C185" i="8"/>
  <c r="B170" i="8"/>
  <c r="F169" i="8"/>
  <c r="F170" i="8"/>
  <c r="B171" i="8"/>
  <c r="E186" i="8"/>
  <c r="A186" i="8"/>
  <c r="C186" i="8"/>
  <c r="A187" i="8"/>
  <c r="E187" i="8"/>
  <c r="C187" i="8"/>
  <c r="B172" i="8"/>
  <c r="F171" i="8"/>
  <c r="B173" i="8"/>
  <c r="F172" i="8"/>
  <c r="E188" i="8"/>
  <c r="A188" i="8"/>
  <c r="C188" i="8"/>
  <c r="A189" i="8"/>
  <c r="E189" i="8"/>
  <c r="C189" i="8"/>
  <c r="B174" i="8"/>
  <c r="F173" i="8"/>
  <c r="F174" i="8"/>
  <c r="B175" i="8"/>
  <c r="E190" i="8"/>
  <c r="A190" i="8"/>
  <c r="C190" i="8"/>
  <c r="A191" i="8"/>
  <c r="E191" i="8"/>
  <c r="C191" i="8"/>
  <c r="B176" i="8"/>
  <c r="F175" i="8"/>
  <c r="B177" i="8"/>
  <c r="F176" i="8"/>
  <c r="E192" i="8"/>
  <c r="A192" i="8"/>
  <c r="C192" i="8"/>
  <c r="A193" i="8"/>
  <c r="E193" i="8"/>
  <c r="C193" i="8"/>
  <c r="B178" i="8"/>
  <c r="F177" i="8"/>
  <c r="B179" i="8"/>
  <c r="F178" i="8"/>
  <c r="E194" i="8"/>
  <c r="A194" i="8"/>
  <c r="C194" i="8"/>
  <c r="A195" i="8"/>
  <c r="E195" i="8"/>
  <c r="C195" i="8"/>
  <c r="B180" i="8"/>
  <c r="F179" i="8"/>
  <c r="B181" i="8"/>
  <c r="F180" i="8"/>
  <c r="E196" i="8"/>
  <c r="A196" i="8"/>
  <c r="C196" i="8"/>
  <c r="A197" i="8"/>
  <c r="C197" i="8"/>
  <c r="E197" i="8"/>
  <c r="B182" i="8"/>
  <c r="F181" i="8"/>
  <c r="F182" i="8"/>
  <c r="B183" i="8"/>
  <c r="E198" i="8"/>
  <c r="A198" i="8"/>
  <c r="C198" i="8"/>
  <c r="A199" i="8"/>
  <c r="E199" i="8"/>
  <c r="C199" i="8"/>
  <c r="B184" i="8"/>
  <c r="F183" i="8"/>
  <c r="B185" i="8"/>
  <c r="F184" i="8"/>
  <c r="E200" i="8"/>
  <c r="A200" i="8"/>
  <c r="C200" i="8"/>
  <c r="A201" i="8"/>
  <c r="E201" i="8"/>
  <c r="C201" i="8"/>
  <c r="B186" i="8"/>
  <c r="F185" i="8"/>
  <c r="F186" i="8"/>
  <c r="B187" i="8"/>
  <c r="E202" i="8"/>
  <c r="A202" i="8"/>
  <c r="C202" i="8"/>
  <c r="A203" i="8"/>
  <c r="E203" i="8"/>
  <c r="C203" i="8"/>
  <c r="B188" i="8"/>
  <c r="F187" i="8"/>
  <c r="B189" i="8"/>
  <c r="F188" i="8"/>
  <c r="E204" i="8"/>
  <c r="A204" i="8"/>
  <c r="C204" i="8"/>
  <c r="A205" i="8"/>
  <c r="E205" i="8"/>
  <c r="C205" i="8"/>
  <c r="B190" i="8"/>
  <c r="F189" i="8"/>
  <c r="B191" i="8"/>
  <c r="F190" i="8"/>
  <c r="A206" i="8"/>
  <c r="E206" i="8"/>
  <c r="C206" i="8"/>
  <c r="A207" i="8"/>
  <c r="E207" i="8"/>
  <c r="C207" i="8"/>
  <c r="B192" i="8"/>
  <c r="F191" i="8"/>
  <c r="B193" i="8"/>
  <c r="F192" i="8"/>
  <c r="A208" i="8"/>
  <c r="E208" i="8"/>
  <c r="C208" i="8"/>
  <c r="A209" i="8"/>
  <c r="E209" i="8"/>
  <c r="C209" i="8"/>
  <c r="F193" i="8"/>
  <c r="B194" i="8"/>
  <c r="B195" i="8"/>
  <c r="F194" i="8"/>
  <c r="A210" i="8"/>
  <c r="E210" i="8"/>
  <c r="C210" i="8"/>
  <c r="A211" i="8"/>
  <c r="E211" i="8"/>
  <c r="C211" i="8"/>
  <c r="B196" i="8"/>
  <c r="F195" i="8"/>
  <c r="F196" i="8"/>
  <c r="B197" i="8"/>
  <c r="A212" i="8"/>
  <c r="C212" i="8"/>
  <c r="E212" i="8"/>
  <c r="A213" i="8"/>
  <c r="E213" i="8"/>
  <c r="C213" i="8"/>
  <c r="B198" i="8"/>
  <c r="F197" i="8"/>
  <c r="B199" i="8"/>
  <c r="F198" i="8"/>
  <c r="A214" i="8"/>
  <c r="E214" i="8"/>
  <c r="C214" i="8"/>
  <c r="A215" i="8"/>
  <c r="E215" i="8"/>
  <c r="C215" i="8"/>
  <c r="F199" i="8"/>
  <c r="B200" i="8"/>
  <c r="B201" i="8"/>
  <c r="F200" i="8"/>
  <c r="E216" i="8"/>
  <c r="A216" i="8"/>
  <c r="C216" i="8"/>
  <c r="A217" i="8"/>
  <c r="C217" i="8"/>
  <c r="E217" i="8"/>
  <c r="B202" i="8"/>
  <c r="F201" i="8"/>
  <c r="F202" i="8"/>
  <c r="B203" i="8"/>
  <c r="E218" i="8"/>
  <c r="A218" i="8"/>
  <c r="C218" i="8"/>
  <c r="A219" i="8"/>
  <c r="E219" i="8"/>
  <c r="C219" i="8"/>
  <c r="B204" i="8"/>
  <c r="F203" i="8"/>
  <c r="B205" i="8"/>
  <c r="F204" i="8"/>
  <c r="E220" i="8"/>
  <c r="A220" i="8"/>
  <c r="C220" i="8"/>
  <c r="A221" i="8"/>
  <c r="E221" i="8"/>
  <c r="C221" i="8"/>
  <c r="F205" i="8"/>
  <c r="B206" i="8"/>
  <c r="B207" i="8"/>
  <c r="F206" i="8"/>
  <c r="E222" i="8"/>
  <c r="A222" i="8"/>
  <c r="C222" i="8"/>
  <c r="A223" i="8"/>
  <c r="E223" i="8"/>
  <c r="C223" i="8"/>
  <c r="B208" i="8"/>
  <c r="F207" i="8"/>
  <c r="F208" i="8"/>
  <c r="B209" i="8"/>
  <c r="E224" i="8"/>
  <c r="A224" i="8"/>
  <c r="C224" i="8"/>
  <c r="A225" i="8"/>
  <c r="E225" i="8"/>
  <c r="C225" i="8"/>
  <c r="B210" i="8"/>
  <c r="F209" i="8"/>
  <c r="F210" i="8"/>
  <c r="B211" i="8"/>
  <c r="E226" i="8"/>
  <c r="A226" i="8"/>
  <c r="C226" i="8"/>
  <c r="A227" i="8"/>
  <c r="E227" i="8"/>
  <c r="C227" i="8"/>
  <c r="F211" i="8"/>
  <c r="B212" i="8"/>
  <c r="B213" i="8"/>
  <c r="F212" i="8"/>
  <c r="E228" i="8"/>
  <c r="A228" i="8"/>
  <c r="C228" i="8"/>
  <c r="A229" i="8"/>
  <c r="E229" i="8"/>
  <c r="C229" i="8"/>
  <c r="B214" i="8"/>
  <c r="F213" i="8"/>
  <c r="F214" i="8"/>
  <c r="B215" i="8"/>
  <c r="E230" i="8"/>
  <c r="A230" i="8"/>
  <c r="C230" i="8"/>
  <c r="A231" i="8"/>
  <c r="E231" i="8"/>
  <c r="C231" i="8"/>
  <c r="B216" i="8"/>
  <c r="F215" i="8"/>
  <c r="B217" i="8"/>
  <c r="F216" i="8"/>
  <c r="E232" i="8"/>
  <c r="A232" i="8"/>
  <c r="C232" i="8"/>
  <c r="A233" i="8"/>
  <c r="C233" i="8"/>
  <c r="E233" i="8"/>
  <c r="F217" i="8"/>
  <c r="B218" i="8"/>
  <c r="B219" i="8"/>
  <c r="F218" i="8"/>
  <c r="E234" i="8"/>
  <c r="A234" i="8"/>
  <c r="C234" i="8"/>
  <c r="A235" i="8"/>
  <c r="E235" i="8"/>
  <c r="C235" i="8"/>
  <c r="B220" i="8"/>
  <c r="F219" i="8"/>
  <c r="F220" i="8"/>
  <c r="B221" i="8"/>
  <c r="E236" i="8"/>
  <c r="A236" i="8"/>
  <c r="C236" i="8"/>
  <c r="A237" i="8"/>
  <c r="E237" i="8"/>
  <c r="C237" i="8"/>
  <c r="B222" i="8"/>
  <c r="F221" i="8"/>
  <c r="F222" i="8"/>
  <c r="B223" i="8"/>
  <c r="E238" i="8"/>
  <c r="A238" i="8"/>
  <c r="C238" i="8"/>
  <c r="A239" i="8"/>
  <c r="E239" i="8"/>
  <c r="C239" i="8"/>
  <c r="F223" i="8"/>
  <c r="B224" i="8"/>
  <c r="B225" i="8"/>
  <c r="F224" i="8"/>
  <c r="E240" i="8"/>
  <c r="A240" i="8"/>
  <c r="C240" i="8"/>
  <c r="A241" i="8"/>
  <c r="E241" i="8"/>
  <c r="C241" i="8"/>
  <c r="B226" i="8"/>
  <c r="F225" i="8"/>
  <c r="F226" i="8"/>
  <c r="B227" i="8"/>
  <c r="E242" i="8"/>
  <c r="A242" i="8"/>
  <c r="C242" i="8"/>
  <c r="A243" i="8"/>
  <c r="E243" i="8"/>
  <c r="C243" i="8"/>
  <c r="B228" i="8"/>
  <c r="F227" i="8"/>
  <c r="B229" i="8"/>
  <c r="F228" i="8"/>
  <c r="E244" i="8"/>
  <c r="A244" i="8"/>
  <c r="C244" i="8"/>
  <c r="A245" i="8"/>
  <c r="C245" i="8"/>
  <c r="E245" i="8"/>
  <c r="F229" i="8"/>
  <c r="B230" i="8"/>
  <c r="F230" i="8"/>
  <c r="B231" i="8"/>
  <c r="E246" i="8"/>
  <c r="A246" i="8"/>
  <c r="C246" i="8"/>
  <c r="A247" i="8"/>
  <c r="E247" i="8"/>
  <c r="C247" i="8"/>
  <c r="B232" i="8"/>
  <c r="F231" i="8"/>
  <c r="F232" i="8"/>
  <c r="B233" i="8"/>
  <c r="E248" i="8"/>
  <c r="A248" i="8"/>
  <c r="C248" i="8"/>
  <c r="A249" i="8"/>
  <c r="E249" i="8"/>
  <c r="C249" i="8"/>
  <c r="B234" i="8"/>
  <c r="F233" i="8"/>
  <c r="F234" i="8"/>
  <c r="B235" i="8"/>
  <c r="E250" i="8"/>
  <c r="A250" i="8"/>
  <c r="C250" i="8"/>
  <c r="A251" i="8"/>
  <c r="E251" i="8"/>
  <c r="C251" i="8"/>
  <c r="F235" i="8"/>
  <c r="B236" i="8"/>
  <c r="B237" i="8"/>
  <c r="F236" i="8"/>
  <c r="E252" i="8"/>
  <c r="A252" i="8"/>
  <c r="C252" i="8"/>
  <c r="A253" i="8"/>
  <c r="E253" i="8"/>
  <c r="C253" i="8"/>
  <c r="B238" i="8"/>
  <c r="F237" i="8"/>
  <c r="F238" i="8"/>
  <c r="B239" i="8"/>
  <c r="E254" i="8"/>
  <c r="A254" i="8"/>
  <c r="C254" i="8"/>
  <c r="A255" i="8"/>
  <c r="E255" i="8"/>
  <c r="C255" i="8"/>
  <c r="B240" i="8"/>
  <c r="F239" i="8"/>
  <c r="B241" i="8"/>
  <c r="F240" i="8"/>
  <c r="E256" i="8"/>
  <c r="A256" i="8"/>
  <c r="C256" i="8"/>
  <c r="A257" i="8"/>
  <c r="C257" i="8"/>
  <c r="E257" i="8"/>
  <c r="F241" i="8"/>
  <c r="B242" i="8"/>
  <c r="F242" i="8"/>
  <c r="B243" i="8"/>
  <c r="E258" i="8"/>
  <c r="A258" i="8"/>
  <c r="C258" i="8"/>
  <c r="A259" i="8"/>
  <c r="E259" i="8"/>
  <c r="C259" i="8"/>
  <c r="B244" i="8"/>
  <c r="F243" i="8"/>
  <c r="B245" i="8"/>
  <c r="F244" i="8"/>
  <c r="E260" i="8"/>
  <c r="A260" i="8"/>
  <c r="C260" i="8"/>
  <c r="A261" i="8"/>
  <c r="E261" i="8"/>
  <c r="C261" i="8"/>
  <c r="B246" i="8"/>
  <c r="F245" i="8"/>
  <c r="F246" i="8"/>
  <c r="B247" i="8"/>
  <c r="E262" i="8"/>
  <c r="A262" i="8"/>
  <c r="C262" i="8"/>
  <c r="A263" i="8"/>
  <c r="E263" i="8"/>
  <c r="C263" i="8"/>
  <c r="B248" i="8"/>
  <c r="F247" i="8"/>
  <c r="B249" i="8"/>
  <c r="F248" i="8"/>
  <c r="E264" i="8"/>
  <c r="A264" i="8"/>
  <c r="C264" i="8"/>
  <c r="A265" i="8"/>
  <c r="C265" i="8"/>
  <c r="E265" i="8"/>
  <c r="F249" i="8"/>
  <c r="B250" i="8"/>
  <c r="F250" i="8"/>
  <c r="B251" i="8"/>
  <c r="E266" i="8"/>
  <c r="A266" i="8"/>
  <c r="C266" i="8"/>
  <c r="A267" i="8"/>
  <c r="E267" i="8"/>
  <c r="C267" i="8"/>
  <c r="B252" i="8"/>
  <c r="F251" i="8"/>
  <c r="B253" i="8"/>
  <c r="F252" i="8"/>
  <c r="E268" i="8"/>
  <c r="A268" i="8"/>
  <c r="C268" i="8"/>
  <c r="A269" i="8"/>
  <c r="C269" i="8"/>
  <c r="E269" i="8"/>
  <c r="F253" i="8"/>
  <c r="B254" i="8"/>
  <c r="F254" i="8"/>
  <c r="B255" i="8"/>
  <c r="E270" i="8"/>
  <c r="A270" i="8"/>
  <c r="C270" i="8"/>
  <c r="A271" i="8"/>
  <c r="E271" i="8"/>
  <c r="C271" i="8"/>
  <c r="B256" i="8"/>
  <c r="F255" i="8"/>
  <c r="B257" i="8"/>
  <c r="F256" i="8"/>
  <c r="E272" i="8"/>
  <c r="A272" i="8"/>
  <c r="C272" i="8"/>
  <c r="A273" i="8"/>
  <c r="E273" i="8"/>
  <c r="C273" i="8"/>
  <c r="B258" i="8"/>
  <c r="F257" i="8"/>
  <c r="F258" i="8"/>
  <c r="B259" i="8"/>
  <c r="E274" i="8"/>
  <c r="A274" i="8"/>
  <c r="C274" i="8"/>
  <c r="E275" i="8"/>
  <c r="C275" i="8"/>
  <c r="F259" i="8"/>
  <c r="B260" i="8"/>
  <c r="F260" i="8"/>
  <c r="B261" i="8"/>
  <c r="B262" i="8"/>
  <c r="F261" i="8"/>
  <c r="B263" i="8"/>
  <c r="F262" i="8"/>
  <c r="B264" i="8"/>
  <c r="F263" i="8"/>
  <c r="B265" i="8"/>
  <c r="F264" i="8"/>
  <c r="F265" i="8"/>
  <c r="B266" i="8"/>
  <c r="F266" i="8"/>
  <c r="B267" i="8"/>
  <c r="B268" i="8"/>
  <c r="F267" i="8"/>
  <c r="B269" i="8"/>
  <c r="F268" i="8"/>
  <c r="B270" i="8"/>
  <c r="F269" i="8"/>
  <c r="B271" i="8"/>
  <c r="F270" i="8"/>
  <c r="B272" i="8"/>
  <c r="F271" i="8"/>
  <c r="B273" i="8"/>
  <c r="F272" i="8"/>
  <c r="F273" i="8"/>
  <c r="B274" i="8"/>
  <c r="B275" i="8"/>
  <c r="F275" i="8"/>
  <c r="F274" i="8"/>
</calcChain>
</file>

<file path=xl/sharedStrings.xml><?xml version="1.0" encoding="utf-8"?>
<sst xmlns="http://schemas.openxmlformats.org/spreadsheetml/2006/main" count="844" uniqueCount="521">
  <si>
    <t>Кол-во чел</t>
  </si>
  <si>
    <t xml:space="preserve">Итого </t>
  </si>
  <si>
    <t>%</t>
  </si>
  <si>
    <t xml:space="preserve">6.2. ПРОГНОЗНЫЕ ПОКАЗАТЕЛИ ЭФЕКТИВНОСТИ ИНВЕСТИЦИЙ </t>
  </si>
  <si>
    <t>Прогнозные показатели эффективности инвестиций</t>
  </si>
  <si>
    <t>Единицы измерения</t>
  </si>
  <si>
    <t>Значения</t>
  </si>
  <si>
    <t>Ставка дисконтирования</t>
  </si>
  <si>
    <t>PB (период окупаемости проекта)</t>
  </si>
  <si>
    <t>мес.</t>
  </si>
  <si>
    <t>DPB (дисконтированный период окупаемости проекта)</t>
  </si>
  <si>
    <t>NPV (чистый приведенный доход)</t>
  </si>
  <si>
    <t>IRR (внутренняя норма рентабельности, в процентах)</t>
  </si>
  <si>
    <t>PI (индекс прибыльности проекта)</t>
  </si>
  <si>
    <t>PF (потребность в финансировании)</t>
  </si>
  <si>
    <t>CD (дефицит денежных средств)</t>
  </si>
  <si>
    <t xml:space="preserve">6.3. ГРАФИК ОКУПАЕМОСТИ (NPV) </t>
  </si>
  <si>
    <t>Выручка</t>
  </si>
  <si>
    <t>Валовая прибыль</t>
  </si>
  <si>
    <t>Амортизация</t>
  </si>
  <si>
    <t>Чистая прибыль</t>
  </si>
  <si>
    <t>6.5. ОТЧЕТ О ДВИЖЕНИИ ДЕНЕЖНЫХ СРЕДСТВ</t>
  </si>
  <si>
    <t>6.9. АНАЛИЗ БЕЗУБЫТОЧНОСТИ</t>
  </si>
  <si>
    <t>Основные средства</t>
  </si>
  <si>
    <t>Денежный поток от операционной деятельности</t>
  </si>
  <si>
    <t>Денежный поток от инвестиционной деятельности</t>
  </si>
  <si>
    <t>Поступление кредитов</t>
  </si>
  <si>
    <t>Погашение кредитов</t>
  </si>
  <si>
    <t>Лизинговые платежи</t>
  </si>
  <si>
    <t>Собственный (акционерный) капитал</t>
  </si>
  <si>
    <t>Выплата дивидендов</t>
  </si>
  <si>
    <t>Дургие поступления</t>
  </si>
  <si>
    <t>Денежный поток от финансовой деятельности</t>
  </si>
  <si>
    <t>Денежный поток за период</t>
  </si>
  <si>
    <t>Баланс наличности на начало периода</t>
  </si>
  <si>
    <t>Баланс наличности на конец периода</t>
  </si>
  <si>
    <t>Поступление от продаж</t>
  </si>
  <si>
    <t>Выплаты процентов по займам</t>
  </si>
  <si>
    <t>Постоянные издержки</t>
  </si>
  <si>
    <t>Переменные издержки</t>
  </si>
  <si>
    <t>Прибыль от реализации</t>
  </si>
  <si>
    <t>Точка безубыточности</t>
  </si>
  <si>
    <t>Запас финансовой прочности, % к выручке</t>
  </si>
  <si>
    <t>Месяцев полезного использования</t>
  </si>
  <si>
    <t>Итого</t>
  </si>
  <si>
    <t>год 2022</t>
  </si>
  <si>
    <t>Суммарные прямые издержки</t>
  </si>
  <si>
    <t>То же нарастающим итогом</t>
  </si>
  <si>
    <t>Дисконтируемый денежный поток</t>
  </si>
  <si>
    <t>DPB- первоначальные инвестиции</t>
  </si>
  <si>
    <t>NPV</t>
  </si>
  <si>
    <t>денежный поток в период времени t/(1+ставка дисконтирования)^t&gt;инвестиции</t>
  </si>
  <si>
    <t>IRR</t>
  </si>
  <si>
    <t>NPV/IC</t>
  </si>
  <si>
    <t>Ставка рефинансирования</t>
  </si>
  <si>
    <t>График окупаемости (NPV)</t>
  </si>
  <si>
    <t>тыс руб.</t>
  </si>
  <si>
    <t>я</t>
  </si>
  <si>
    <t>Месячная ставка дисконтирования</t>
  </si>
  <si>
    <t>Административный персонал</t>
  </si>
  <si>
    <t>Код ОКОФ и месяцы полезного использования можно не заполнять</t>
  </si>
  <si>
    <t>Количество</t>
  </si>
  <si>
    <t>Код ОКОФ</t>
  </si>
  <si>
    <t>год 2023</t>
  </si>
  <si>
    <t>ПО ГОДАМ</t>
  </si>
  <si>
    <t>Наименование  показателя</t>
  </si>
  <si>
    <t>2021 г.</t>
  </si>
  <si>
    <t>2022 г.</t>
  </si>
  <si>
    <t>2023 г.</t>
  </si>
  <si>
    <t>2021 г</t>
  </si>
  <si>
    <t>Статья затрат</t>
  </si>
  <si>
    <t>Наименование показателя</t>
  </si>
  <si>
    <t>Постоянные затраты</t>
  </si>
  <si>
    <t>Затраты на персонал</t>
  </si>
  <si>
    <t>Переменные затраты</t>
  </si>
  <si>
    <t>Прямые затраты</t>
  </si>
  <si>
    <t>Валовой объем продаж</t>
  </si>
  <si>
    <t>Материалы и комплектующие</t>
  </si>
  <si>
    <t>Производственные издержки</t>
  </si>
  <si>
    <t>Маркетинговые издержки</t>
  </si>
  <si>
    <t>Зарплата административного персонала</t>
  </si>
  <si>
    <t>Зарплата производственного персонала</t>
  </si>
  <si>
    <t>Суммарные постоянные издержки</t>
  </si>
  <si>
    <t>Проценты по кредитам</t>
  </si>
  <si>
    <t>Суммарные не производственные издержки</t>
  </si>
  <si>
    <t>Прибыль до выплаты налога</t>
  </si>
  <si>
    <t> Наименование показателя</t>
  </si>
  <si>
    <t>Поступления от продаж</t>
  </si>
  <si>
    <t>Затраты на материалы и комплектующие</t>
  </si>
  <si>
    <t>Общие издержки</t>
  </si>
  <si>
    <t>Налоги</t>
  </si>
  <si>
    <t>Кэш-фло от операционной деятельности</t>
  </si>
  <si>
    <t>Затраты на приобретение активов</t>
  </si>
  <si>
    <t>Другие издержки подготовительного периода</t>
  </si>
  <si>
    <t>Кэш-фло от инвестиционной деятельности</t>
  </si>
  <si>
    <t>Займы</t>
  </si>
  <si>
    <t>Выплаты в погашение займов</t>
  </si>
  <si>
    <t xml:space="preserve">Выплаты процентов по займам </t>
  </si>
  <si>
    <t>Кэш-фло от финансовой деятельности</t>
  </si>
  <si>
    <t>Баланс наличности на начало</t>
  </si>
  <si>
    <t>Баланс наличности на конец</t>
  </si>
  <si>
    <t>Коэффициент рентабельности валовой прибыли (GPM), %</t>
  </si>
  <si>
    <t>Коэффициент рентабельности операционной прибыли (OPM), %</t>
  </si>
  <si>
    <t>Коэффициент рентабельности чистой прибыли (NPM), %</t>
  </si>
  <si>
    <t>Рентабельность внеоборотных активов (RFA),%</t>
  </si>
  <si>
    <t>Рентабельность инвестиций (ROI),%</t>
  </si>
  <si>
    <t>Рентабельность собственного капитала (ROE),%</t>
  </si>
  <si>
    <t>Наименование объекта</t>
  </si>
  <si>
    <t>Закупаемое оборудование</t>
  </si>
  <si>
    <t>ВНЕОБОРОТНЫЕ АКТИВЫ</t>
  </si>
  <si>
    <t>тыс. руб.</t>
  </si>
  <si>
    <t>АRR</t>
  </si>
  <si>
    <t>MIRR</t>
  </si>
  <si>
    <t xml:space="preserve">Объем сбыта </t>
  </si>
  <si>
    <t>Цена сбыта</t>
  </si>
  <si>
    <t>Прямые издержки</t>
  </si>
  <si>
    <t>Показатель</t>
  </si>
  <si>
    <t>Диапазон изменения показателя</t>
  </si>
  <si>
    <t>Как изменится период окупаемости PB:</t>
  </si>
  <si>
    <t>Как изменится NPV:</t>
  </si>
  <si>
    <t xml:space="preserve">Объем  сбыта </t>
  </si>
  <si>
    <t xml:space="preserve">Прямые издержки </t>
  </si>
  <si>
    <t>Бюджет маркетинга</t>
  </si>
  <si>
    <t>Зарплата в месяц</t>
  </si>
  <si>
    <t xml:space="preserve">Наименование </t>
  </si>
  <si>
    <t>Итого постоянные</t>
  </si>
  <si>
    <t>Итого переменные</t>
  </si>
  <si>
    <t>Итого косвенные</t>
  </si>
  <si>
    <t>Итого прямые</t>
  </si>
  <si>
    <t>Затраты на персонал производственный</t>
  </si>
  <si>
    <t>Все затраты</t>
  </si>
  <si>
    <t>Объем продаж</t>
  </si>
  <si>
    <t>Прямые на единицу</t>
  </si>
  <si>
    <t>Цена товара</t>
  </si>
  <si>
    <t>тыс руб</t>
  </si>
  <si>
    <t>шт</t>
  </si>
  <si>
    <t>Среднее</t>
  </si>
  <si>
    <t>Точка безубыточности в тыс.руб</t>
  </si>
  <si>
    <t>Затраты (тыс руб)</t>
  </si>
  <si>
    <t>Размер шага</t>
  </si>
  <si>
    <t>с/с на 1 ед, руб</t>
  </si>
  <si>
    <t>цена на 1 ед, руб</t>
  </si>
  <si>
    <t>Объем продаж, шт</t>
  </si>
  <si>
    <t>Выручка, руб</t>
  </si>
  <si>
    <t>Все затраты, руб</t>
  </si>
  <si>
    <t>x</t>
  </si>
  <si>
    <t>FC</t>
  </si>
  <si>
    <t>VC</t>
  </si>
  <si>
    <t>SALES VALUE</t>
  </si>
  <si>
    <t>COST</t>
  </si>
  <si>
    <t>Запас финансовой прочности (тыс. руб)</t>
  </si>
  <si>
    <t>Налог</t>
  </si>
  <si>
    <t>подбираем чтобы npv=0</t>
  </si>
  <si>
    <t>Наименование персонала</t>
  </si>
  <si>
    <t>Итого по предприятию</t>
  </si>
  <si>
    <t>ИТОГО</t>
  </si>
  <si>
    <t>Итого, постоянных затрат</t>
  </si>
  <si>
    <t>Итого, полная себестоимость</t>
  </si>
  <si>
    <t>Стоимость</t>
  </si>
  <si>
    <t>Затраты на персонал АП</t>
  </si>
  <si>
    <t>Затраты на персонал ПР</t>
  </si>
  <si>
    <t>Полные затраты</t>
  </si>
  <si>
    <t>CR</t>
  </si>
  <si>
    <t>NWC</t>
  </si>
  <si>
    <t xml:space="preserve">Существующее оборудование </t>
  </si>
  <si>
    <t>Период  с 01.01.2020 - 31.12.2023</t>
  </si>
  <si>
    <t>Амортизация год ( руб)</t>
  </si>
  <si>
    <t>PI</t>
  </si>
  <si>
    <t>2024 г</t>
  </si>
  <si>
    <t>2025 г</t>
  </si>
  <si>
    <t>2026 г</t>
  </si>
  <si>
    <t>2028 г</t>
  </si>
  <si>
    <t>2029 г</t>
  </si>
  <si>
    <t>2024 г.</t>
  </si>
  <si>
    <t>2025 г.</t>
  </si>
  <si>
    <t>2026 г.</t>
  </si>
  <si>
    <t>2027 г.</t>
  </si>
  <si>
    <t>2028 г.</t>
  </si>
  <si>
    <t>2029 г.</t>
  </si>
  <si>
    <t>год 2024</t>
  </si>
  <si>
    <t>год 2025</t>
  </si>
  <si>
    <t>год 2026</t>
  </si>
  <si>
    <t>год 2028</t>
  </si>
  <si>
    <t>год 2027</t>
  </si>
  <si>
    <t>год 2029</t>
  </si>
  <si>
    <t>обязательства</t>
  </si>
  <si>
    <t>оборотные</t>
  </si>
  <si>
    <t>прямые</t>
  </si>
  <si>
    <t>Налог ФБ</t>
  </si>
  <si>
    <t>Налог на прибыль ОБ</t>
  </si>
  <si>
    <t>2020 г</t>
  </si>
  <si>
    <t>2022 г</t>
  </si>
  <si>
    <t>2023 г</t>
  </si>
  <si>
    <t>2027 г</t>
  </si>
  <si>
    <t>Должность</t>
  </si>
  <si>
    <t>Оклад</t>
  </si>
  <si>
    <t>Ставка</t>
  </si>
  <si>
    <t>ФОТ 2023 году</t>
  </si>
  <si>
    <t>Производственный персонал</t>
  </si>
  <si>
    <t>Расчет прямых затрат на прозводство за год</t>
  </si>
  <si>
    <t>Электроэнергия</t>
  </si>
  <si>
    <t>1 год 0 месяц</t>
  </si>
  <si>
    <t>№</t>
  </si>
  <si>
    <t>общие</t>
  </si>
  <si>
    <t>2024  г</t>
  </si>
  <si>
    <t>1год0месяц</t>
  </si>
  <si>
    <t>lfnf</t>
  </si>
  <si>
    <t>платеж</t>
  </si>
  <si>
    <t>проценты</t>
  </si>
  <si>
    <t>тело кредита</t>
  </si>
  <si>
    <t>выплаты займа</t>
  </si>
  <si>
    <t>Прогноз объемов продаж тыс руб</t>
  </si>
  <si>
    <t>Затраты на административный персонал</t>
  </si>
  <si>
    <t>Кредит (субсидия)</t>
  </si>
  <si>
    <t>Займ учредителя (без %)</t>
  </si>
  <si>
    <t>займ учредителя</t>
  </si>
  <si>
    <t>Отработанные месяцы</t>
  </si>
  <si>
    <t>ARR (коэффициент эффективности инвестиций)</t>
  </si>
  <si>
    <t>MIRR (модифицированная внутренняя норма рентабельности)</t>
  </si>
  <si>
    <t>Среднемес</t>
  </si>
  <si>
    <t>Соотношение к ПМ</t>
  </si>
  <si>
    <t>Итого за все годы</t>
  </si>
  <si>
    <t>проверка устойчивости</t>
  </si>
  <si>
    <t>Расходы на SMM продвижение и таргетированную рекламу</t>
  </si>
  <si>
    <t>Баннерная реклама, реклама на ТВ</t>
  </si>
  <si>
    <t>Генеральный директор</t>
  </si>
  <si>
    <t>Прогноз объемов производства, единиц</t>
  </si>
  <si>
    <t>Расчет прямых затрат на единицу продукции</t>
  </si>
  <si>
    <t>Средняя цена продажи 1ед продукции</t>
  </si>
  <si>
    <t>Банковское обслуживание</t>
  </si>
  <si>
    <t>Маркетинг</t>
  </si>
  <si>
    <t>Расходы на оценку труда</t>
  </si>
  <si>
    <t>Спецодежда и СИЗ</t>
  </si>
  <si>
    <t>Точка безубыточности в ед продукции</t>
  </si>
  <si>
    <t>-</t>
  </si>
  <si>
    <t xml:space="preserve">Страховые взносы </t>
  </si>
  <si>
    <t>без льгот</t>
  </si>
  <si>
    <t>со льготой</t>
  </si>
  <si>
    <t>оклад</t>
  </si>
  <si>
    <t>адм. персонал</t>
  </si>
  <si>
    <t>директор</t>
  </si>
  <si>
    <t>произв. персонал</t>
  </si>
  <si>
    <t>ФОТ</t>
  </si>
  <si>
    <t>НДФЛ</t>
  </si>
  <si>
    <t xml:space="preserve">Затраты проведение мероприятий по охране окружающей среды </t>
  </si>
  <si>
    <t>Аренда техники  и затраты на транспорт</t>
  </si>
  <si>
    <t>Промоакции в различных регионах России</t>
  </si>
  <si>
    <t>Мероприятия с привлечением лидеров мнений</t>
  </si>
  <si>
    <t>Мероприятия по продвижению товара за рубеж</t>
  </si>
  <si>
    <t>Участие в выставках и конференциях</t>
  </si>
  <si>
    <t>Агро ДКВ 1, кг</t>
  </si>
  <si>
    <t>Агро ДКВ 2, кг</t>
  </si>
  <si>
    <t>Агро ДКВ экспорт, кг</t>
  </si>
  <si>
    <t>БАД диабет</t>
  </si>
  <si>
    <t>БАД онко</t>
  </si>
  <si>
    <t>БАД спорт</t>
  </si>
  <si>
    <t>Разработка ПСД с ТЭО</t>
  </si>
  <si>
    <t xml:space="preserve">Затраты на строительство </t>
  </si>
  <si>
    <t>Общепроизводственые расходы</t>
  </si>
  <si>
    <t>Регистрация новой продукции</t>
  </si>
  <si>
    <t>Реактор экстракции</t>
  </si>
  <si>
    <t>Древесный измельчитель</t>
  </si>
  <si>
    <t>Сушильная камера</t>
  </si>
  <si>
    <t xml:space="preserve">Реактор для приготовления рабочего раствора </t>
  </si>
  <si>
    <t>Установка сорбентной очистки</t>
  </si>
  <si>
    <t xml:space="preserve">Ротационный испаритель </t>
  </si>
  <si>
    <t>Лиофильная сушилка</t>
  </si>
  <si>
    <t xml:space="preserve">Мельница </t>
  </si>
  <si>
    <t xml:space="preserve">Весы </t>
  </si>
  <si>
    <t xml:space="preserve">Измельчитель </t>
  </si>
  <si>
    <t xml:space="preserve">Микромельница </t>
  </si>
  <si>
    <t xml:space="preserve">Смеситель </t>
  </si>
  <si>
    <t>Капсулозагрузочная машина</t>
  </si>
  <si>
    <t>Блистерный аппарат</t>
  </si>
  <si>
    <t xml:space="preserve">Фасовочная установка </t>
  </si>
  <si>
    <t>Медицинский директор</t>
  </si>
  <si>
    <t>Бухгалтер</t>
  </si>
  <si>
    <t>иной персонал</t>
  </si>
  <si>
    <t>Торговый представитель. Иркутская область</t>
  </si>
  <si>
    <t>Торговый представитель. Регионы</t>
  </si>
  <si>
    <t>Оператор Call-центра</t>
  </si>
  <si>
    <t>Торговый представитель. ВЭД</t>
  </si>
  <si>
    <t>Маркетолог</t>
  </si>
  <si>
    <t>Начальник смены (технолог)</t>
  </si>
  <si>
    <t>Рабочий</t>
  </si>
  <si>
    <t>Сотрудник на капсуляторе</t>
  </si>
  <si>
    <t>Заведующий производством</t>
  </si>
  <si>
    <t>Оклад в 2021 году</t>
  </si>
  <si>
    <t xml:space="preserve">Итого ФОТ 2021 года </t>
  </si>
  <si>
    <t>Оклад 2022 году</t>
  </si>
  <si>
    <t>ФОТ 2022 году c отчислениями</t>
  </si>
  <si>
    <t>ФОТ 2024 году</t>
  </si>
  <si>
    <t>Итого в 2023 году</t>
  </si>
  <si>
    <t>Оклад  в 2024 году</t>
  </si>
  <si>
    <t>Оклад 2025 году</t>
  </si>
  <si>
    <t>ФОТ 2025 году c отчислениями</t>
  </si>
  <si>
    <t>Итого в 2026 году</t>
  </si>
  <si>
    <t>ФОТ 2026 году</t>
  </si>
  <si>
    <t>Оклад  в 2027 году</t>
  </si>
  <si>
    <t>ФОТ 2027 году</t>
  </si>
  <si>
    <t>Итого в 2028 году</t>
  </si>
  <si>
    <t>ФОТ 2028 году</t>
  </si>
  <si>
    <t>Оклад  в 2029 году</t>
  </si>
  <si>
    <t>ФОТ 2029 году</t>
  </si>
  <si>
    <t>Очисления с льготами 2021 (8%)</t>
  </si>
  <si>
    <t>Очисления  2021 без льгот (15, 04% выше МРОТ и 30,4% с МРОТ)</t>
  </si>
  <si>
    <t>Очисления  2022 без льгот (15, 04% выше МРОТ и 30,4% с МРОТ)</t>
  </si>
  <si>
    <t>Очисления с льготами 2022 (8%)</t>
  </si>
  <si>
    <t>Очисления  2023 без льгот (15, 04% выше МРОТ и 30,4% с МРОТ)</t>
  </si>
  <si>
    <t>Очисления с льготами 2023 (8%)</t>
  </si>
  <si>
    <t>Очисления  2025 без льгот (15, 04% выше МРОТ и 30,4% с МРОТ)</t>
  </si>
  <si>
    <t>Очисления  2024 без льгот (15, 04% выше МРОТ и 30,4% с МРОТ)</t>
  </si>
  <si>
    <t>Очисления с льготами 2024 (8%)</t>
  </si>
  <si>
    <t>Очисления с льготами 2025 (8%)</t>
  </si>
  <si>
    <t>Очисления  2026 без льгот (15, 04% выше МРОТ и 30,4% с МРОТ)</t>
  </si>
  <si>
    <t>Очисления с льготами 2026 (8%)</t>
  </si>
  <si>
    <t>Очисления  2028 без льгот (15, 04% выше МРОТ и 30,4% с МРОТ)</t>
  </si>
  <si>
    <t>Очисления с льготами 2028 (8%)</t>
  </si>
  <si>
    <t>Очисления  2027 без льгот (15, 04% выше МРОТ и 30,4% с МРОТ)</t>
  </si>
  <si>
    <t>Очисления с льготами 2027 (8%)</t>
  </si>
  <si>
    <t>Очисления  2029 без льгот (15, 04% выше МРОТ и 30,4% с МРОТ)</t>
  </si>
  <si>
    <t>Очисления с льготами 2029 (8%)</t>
  </si>
  <si>
    <t>ФОТ в год</t>
  </si>
  <si>
    <t>Универсальный выпарной аппара УВВ-200</t>
  </si>
  <si>
    <t>01,06,2021</t>
  </si>
  <si>
    <t>01,07,2021</t>
  </si>
  <si>
    <t>01,08,2021</t>
  </si>
  <si>
    <t>01,09,2021</t>
  </si>
  <si>
    <t>01,10,2021</t>
  </si>
  <si>
    <t>01,11,2021</t>
  </si>
  <si>
    <t>01,12,2021</t>
  </si>
  <si>
    <t>01,01,2022</t>
  </si>
  <si>
    <t>01,02,2022</t>
  </si>
  <si>
    <t>01,03,2022</t>
  </si>
  <si>
    <t>01,04,2022</t>
  </si>
  <si>
    <t>01,05,2022</t>
  </si>
  <si>
    <t>01,06,2022</t>
  </si>
  <si>
    <t>01,07,2022</t>
  </si>
  <si>
    <t>01,08,2022</t>
  </si>
  <si>
    <t>01,09,2022</t>
  </si>
  <si>
    <t>01,10,2022</t>
  </si>
  <si>
    <t>01,11,2022</t>
  </si>
  <si>
    <t>01,12,2022</t>
  </si>
  <si>
    <t>01,01,2023</t>
  </si>
  <si>
    <t>01,02,2023</t>
  </si>
  <si>
    <t>01,03,2023</t>
  </si>
  <si>
    <t>01,04,2023</t>
  </si>
  <si>
    <t>01,05,2023</t>
  </si>
  <si>
    <t>01,06,2023</t>
  </si>
  <si>
    <t>01,07,2023</t>
  </si>
  <si>
    <t>01,08,2023</t>
  </si>
  <si>
    <t>01,09,2023</t>
  </si>
  <si>
    <t>01,10,2023</t>
  </si>
  <si>
    <t>01,11,2023</t>
  </si>
  <si>
    <t>01,12,2023</t>
  </si>
  <si>
    <t>01,01,2024</t>
  </si>
  <si>
    <t>01,02,2024</t>
  </si>
  <si>
    <t>01,03,2024</t>
  </si>
  <si>
    <t>01,04,2024</t>
  </si>
  <si>
    <t>01,05,2024</t>
  </si>
  <si>
    <t>01,06,2024</t>
  </si>
  <si>
    <t>01,07,2024</t>
  </si>
  <si>
    <t>01,08,2024</t>
  </si>
  <si>
    <t>01,09,2024</t>
  </si>
  <si>
    <t>01,10,2024</t>
  </si>
  <si>
    <t>01,11,2024</t>
  </si>
  <si>
    <t>01,12,2024</t>
  </si>
  <si>
    <t>01,01,2025</t>
  </si>
  <si>
    <t>01,02,2025</t>
  </si>
  <si>
    <t>01,03,2025</t>
  </si>
  <si>
    <t>01,04,2025</t>
  </si>
  <si>
    <t>01,05,2025</t>
  </si>
  <si>
    <t>01,06,2025</t>
  </si>
  <si>
    <t>01,07,2025</t>
  </si>
  <si>
    <t>01,08,2025</t>
  </si>
  <si>
    <t>01,09,2025</t>
  </si>
  <si>
    <t>01,10,2025</t>
  </si>
  <si>
    <t>01,11,2025</t>
  </si>
  <si>
    <t>01,12,2025</t>
  </si>
  <si>
    <t>01,01,2026</t>
  </si>
  <si>
    <t>01,02,2026</t>
  </si>
  <si>
    <t>01,03,2026</t>
  </si>
  <si>
    <t>01,04,2026</t>
  </si>
  <si>
    <t>01,05,2026</t>
  </si>
  <si>
    <t>01,06,2026</t>
  </si>
  <si>
    <t>01,07,2026</t>
  </si>
  <si>
    <t>01,08,2026</t>
  </si>
  <si>
    <t>01,09,2026</t>
  </si>
  <si>
    <t>01,10,2026</t>
  </si>
  <si>
    <t>01,11,2026</t>
  </si>
  <si>
    <t>01,12,2026</t>
  </si>
  <si>
    <t>01,01,2027</t>
  </si>
  <si>
    <t>01,02,2027</t>
  </si>
  <si>
    <t>01,03,2027</t>
  </si>
  <si>
    <t>01,04,2027</t>
  </si>
  <si>
    <t>01,05,2027</t>
  </si>
  <si>
    <t>01,06,2027</t>
  </si>
  <si>
    <t>01,07,2027</t>
  </si>
  <si>
    <t>01,08,2027</t>
  </si>
  <si>
    <t>01,09,2027</t>
  </si>
  <si>
    <t>01,10,2027</t>
  </si>
  <si>
    <t>01,11,2027</t>
  </si>
  <si>
    <t>01,12,2027</t>
  </si>
  <si>
    <t>01,01,2028</t>
  </si>
  <si>
    <t>01,02,2028</t>
  </si>
  <si>
    <t>01,03,2028</t>
  </si>
  <si>
    <t>01,04,2028</t>
  </si>
  <si>
    <t>01,05,2028</t>
  </si>
  <si>
    <t>01,06,2028</t>
  </si>
  <si>
    <t>01,07,2028</t>
  </si>
  <si>
    <t>01,08,2028</t>
  </si>
  <si>
    <t>01,09,2028</t>
  </si>
  <si>
    <t>01,10,2028</t>
  </si>
  <si>
    <t>01,11,2028</t>
  </si>
  <si>
    <t>01,12,2028</t>
  </si>
  <si>
    <t>01,01,2029</t>
  </si>
  <si>
    <t>01,02,2029</t>
  </si>
  <si>
    <t>01,03,2029</t>
  </si>
  <si>
    <t>01,04,2029</t>
  </si>
  <si>
    <t>01,05,2029</t>
  </si>
  <si>
    <t>01,06,2029</t>
  </si>
  <si>
    <t>01,07,2029</t>
  </si>
  <si>
    <t>01,08,2029</t>
  </si>
  <si>
    <t>01,09,2029</t>
  </si>
  <si>
    <t>01,10,2029</t>
  </si>
  <si>
    <t>01,11,2029</t>
  </si>
  <si>
    <t>01,12,2029</t>
  </si>
  <si>
    <t>01,01,2030</t>
  </si>
  <si>
    <t>01,02,2030</t>
  </si>
  <si>
    <t>01,03,2030</t>
  </si>
  <si>
    <t>01,04,2030</t>
  </si>
  <si>
    <t>01,05,2030</t>
  </si>
  <si>
    <t>01,06,2030</t>
  </si>
  <si>
    <t>01,07,2030</t>
  </si>
  <si>
    <t>01,08,2030</t>
  </si>
  <si>
    <t>01,09,2030</t>
  </si>
  <si>
    <t>01,10,2030</t>
  </si>
  <si>
    <t>01,11,2030</t>
  </si>
  <si>
    <t>01,12,2030</t>
  </si>
  <si>
    <t>01,01,2031</t>
  </si>
  <si>
    <t>01,02,2031</t>
  </si>
  <si>
    <t>01,03,2031</t>
  </si>
  <si>
    <t>01,04,2031</t>
  </si>
  <si>
    <t>01,05,2031</t>
  </si>
  <si>
    <t>01,06,2031</t>
  </si>
  <si>
    <t>01,07,2031</t>
  </si>
  <si>
    <t>01,08,2031</t>
  </si>
  <si>
    <t>01,09,2031</t>
  </si>
  <si>
    <t>01,10,2031</t>
  </si>
  <si>
    <t>01,11,2031</t>
  </si>
  <si>
    <t>01,12,2031</t>
  </si>
  <si>
    <t>01,01,2032</t>
  </si>
  <si>
    <t>01,02,2032</t>
  </si>
  <si>
    <t>01,03,2032</t>
  </si>
  <si>
    <t>01,04,2032</t>
  </si>
  <si>
    <t>01,05,2032</t>
  </si>
  <si>
    <t>01,06,2032</t>
  </si>
  <si>
    <t>01,07,2032</t>
  </si>
  <si>
    <t>01,08,2032</t>
  </si>
  <si>
    <t>01,09,2032</t>
  </si>
  <si>
    <t>01,10,2032</t>
  </si>
  <si>
    <t>01,11,2032</t>
  </si>
  <si>
    <t>01,12,2032</t>
  </si>
  <si>
    <t>01,01,2033</t>
  </si>
  <si>
    <t>01,02,2033</t>
  </si>
  <si>
    <t>01,03,2033</t>
  </si>
  <si>
    <t>01,04,2033</t>
  </si>
  <si>
    <t>01,05,2033</t>
  </si>
  <si>
    <t>01,06,2033</t>
  </si>
  <si>
    <t>01,07,2033</t>
  </si>
  <si>
    <t>01,08,2033</t>
  </si>
  <si>
    <t>01,09,2033</t>
  </si>
  <si>
    <t>01,10,2033</t>
  </si>
  <si>
    <t>01,11,2033</t>
  </si>
  <si>
    <t>01,12,2033</t>
  </si>
  <si>
    <t>01,01,2034</t>
  </si>
  <si>
    <t>01,02,2034</t>
  </si>
  <si>
    <t>01,03,2034</t>
  </si>
  <si>
    <t>01,04,2034</t>
  </si>
  <si>
    <t>01,05,2034</t>
  </si>
  <si>
    <t>01,06,2034</t>
  </si>
  <si>
    <t>01,07,2034</t>
  </si>
  <si>
    <t>01,08,2034</t>
  </si>
  <si>
    <t>01,09,2034</t>
  </si>
  <si>
    <t>01,10,2034</t>
  </si>
  <si>
    <t>01,11,2034</t>
  </si>
  <si>
    <t>23,08,2021</t>
  </si>
  <si>
    <t>01,12,2034</t>
  </si>
  <si>
    <t>01,01,2035</t>
  </si>
  <si>
    <t>01,02,2035</t>
  </si>
  <si>
    <t>01,03,2035</t>
  </si>
  <si>
    <t>01,04,2035</t>
  </si>
  <si>
    <t>01,05,2035</t>
  </si>
  <si>
    <t>01,06,2035</t>
  </si>
  <si>
    <t>01,07,2035</t>
  </si>
  <si>
    <t>01,08,2035</t>
  </si>
  <si>
    <t>01,12,1983</t>
  </si>
  <si>
    <t>01,09,2035</t>
  </si>
  <si>
    <t>01,11,1968</t>
  </si>
  <si>
    <t>01,10,2035</t>
  </si>
  <si>
    <t>01,10,1953</t>
  </si>
  <si>
    <t>01,11,2035</t>
  </si>
  <si>
    <t>01,09,1937</t>
  </si>
  <si>
    <t>01,12,2035</t>
  </si>
  <si>
    <t>01,01,2036</t>
  </si>
  <si>
    <t>07,04,2021</t>
  </si>
  <si>
    <t>01,02,2036</t>
  </si>
  <si>
    <t>01,05,1988</t>
  </si>
  <si>
    <t>01,03,2036</t>
  </si>
  <si>
    <t>01,04,1971</t>
  </si>
  <si>
    <t>01,04,2036</t>
  </si>
  <si>
    <t>01,03,1953</t>
  </si>
  <si>
    <t>01,05,2036</t>
  </si>
  <si>
    <t>01,02,1936</t>
  </si>
  <si>
    <t>01,06,2036</t>
  </si>
  <si>
    <t>01,01,2018</t>
  </si>
  <si>
    <t>Проценты по банковской гарантии</t>
  </si>
  <si>
    <t>Налог на имущество</t>
  </si>
  <si>
    <t>Год 2021</t>
  </si>
  <si>
    <t>расчет NPV</t>
  </si>
  <si>
    <t>Нарастающим итогом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</si>
</sst>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\ _₽_-;\-* #,##0\ _₽_-;_-* &quot;-&quot;\ _₽_-;_-@_-"/>
    <numFmt numFmtId="165" formatCode="_-* #,##0.00\ _₽_-;\-* #,##0.00\ _₽_-;_-* &quot;-&quot;??\ _₽_-;_-@_-"/>
    <numFmt numFmtId="166" formatCode="0.0%"/>
    <numFmt numFmtId="167" formatCode="0.0"/>
    <numFmt numFmtId="168" formatCode="0.000"/>
    <numFmt numFmtId="169" formatCode="0.0000"/>
    <numFmt numFmtId="170" formatCode="0.000%"/>
    <numFmt numFmtId="171" formatCode="_-* #,##0\ _₽_-;\-* #,##0\ _₽_-;_-* &quot;-&quot;??\ _₽_-;_-@_-"/>
    <numFmt numFmtId="172" formatCode="#,##0.0"/>
    <numFmt numFmtId="173" formatCode="_-* #,##0.00_р_._-;\-* #,##0.00_р_._-;_-* &quot;-&quot;??_р_._-;_-@_-"/>
    <numFmt numFmtId="174" formatCode="#,##0.000"/>
    <numFmt numFmtId="175" formatCode="#,##0_ ;\-#,##0\ "/>
  </numFmts>
  <fonts count="65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2"/>
      <color rgb="FF0F243E"/>
      <name val="Cambria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0"/>
      <name val="Arial Cyr"/>
      <family val="2"/>
      <charset val="204"/>
    </font>
    <font>
      <i/>
      <sz val="12"/>
      <color rgb="FF0F243E"/>
      <name val="Cambria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2"/>
      <color rgb="FF000000"/>
      <name val="Cambria"/>
      <family val="1"/>
      <charset val="204"/>
    </font>
    <font>
      <sz val="12"/>
      <color rgb="FF0F243E"/>
      <name val="Cambria"/>
      <family val="1"/>
    </font>
    <font>
      <b/>
      <sz val="14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</font>
    <font>
      <b/>
      <sz val="13.5"/>
      <color rgb="FF000000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sz val="11"/>
      <color rgb="FF344150"/>
      <name val="Tahoma"/>
      <family val="2"/>
    </font>
    <font>
      <sz val="14"/>
      <color theme="1"/>
      <name val="Cambria"/>
      <family val="1"/>
      <charset val="204"/>
    </font>
    <font>
      <b/>
      <sz val="18"/>
      <color rgb="FFFF0000"/>
      <name val="Calibri"/>
      <family val="2"/>
      <scheme val="minor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Cambria"/>
      <family val="1"/>
      <charset val="204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2"/>
      <color theme="1"/>
      <name val="Times New Roman"/>
      <family val="1"/>
    </font>
    <font>
      <sz val="12"/>
      <color rgb="FF344150"/>
      <name val="Times New Roman"/>
      <family val="1"/>
    </font>
    <font>
      <sz val="12"/>
      <color rgb="FF444444"/>
      <name val="Times New Roman"/>
      <family val="1"/>
    </font>
  </fonts>
  <fills count="4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CE4"/>
        <bgColor rgb="FF000000"/>
      </patternFill>
    </fill>
  </fills>
  <borders count="38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419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2" applyNumberFormat="0" applyAlignment="0" applyProtection="0"/>
    <xf numFmtId="0" fontId="15" fillId="7" borderId="13" applyNumberFormat="0" applyAlignment="0" applyProtection="0"/>
    <xf numFmtId="0" fontId="16" fillId="7" borderId="12" applyNumberFormat="0" applyAlignment="0" applyProtection="0"/>
    <xf numFmtId="0" fontId="17" fillId="0" borderId="14" applyNumberFormat="0" applyFill="0" applyAlignment="0" applyProtection="0"/>
    <xf numFmtId="0" fontId="18" fillId="8" borderId="15" applyNumberFormat="0" applyAlignment="0" applyProtection="0"/>
    <xf numFmtId="0" fontId="19" fillId="0" borderId="0" applyNumberFormat="0" applyFill="0" applyBorder="0" applyAlignment="0" applyProtection="0"/>
    <xf numFmtId="0" fontId="3" fillId="9" borderId="16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410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0" xfId="0" applyBorder="1"/>
    <xf numFmtId="0" fontId="21" fillId="0" borderId="0" xfId="0" applyFont="1"/>
    <xf numFmtId="10" fontId="0" fillId="0" borderId="0" xfId="0" applyNumberFormat="1"/>
    <xf numFmtId="0" fontId="26" fillId="0" borderId="18" xfId="0" applyFont="1" applyBorder="1" applyAlignment="1">
      <alignment horizontal="center" vertical="center"/>
    </xf>
    <xf numFmtId="4" fontId="0" fillId="0" borderId="0" xfId="0" applyNumberFormat="1"/>
    <xf numFmtId="0" fontId="0" fillId="0" borderId="0" xfId="0" applyNumberFormat="1"/>
    <xf numFmtId="10" fontId="4" fillId="0" borderId="4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justify" vertical="center" wrapText="1"/>
    </xf>
    <xf numFmtId="0" fontId="0" fillId="0" borderId="0" xfId="0" applyFill="1"/>
    <xf numFmtId="4" fontId="0" fillId="0" borderId="0" xfId="0" applyNumberFormat="1" applyFill="1"/>
    <xf numFmtId="0" fontId="0" fillId="0" borderId="0" xfId="0" applyNumberFormat="1" applyFill="1"/>
    <xf numFmtId="4" fontId="4" fillId="0" borderId="4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justify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9" fontId="0" fillId="0" borderId="0" xfId="0" applyNumberFormat="1" applyFill="1"/>
    <xf numFmtId="0" fontId="27" fillId="0" borderId="0" xfId="0" applyFont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1" fontId="0" fillId="0" borderId="0" xfId="0" applyNumberFormat="1"/>
    <xf numFmtId="3" fontId="4" fillId="0" borderId="0" xfId="0" applyNumberFormat="1" applyFont="1" applyBorder="1" applyAlignment="1">
      <alignment horizontal="justify" vertical="center" wrapText="1"/>
    </xf>
    <xf numFmtId="3" fontId="4" fillId="0" borderId="0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17" fontId="26" fillId="0" borderId="1" xfId="0" applyNumberFormat="1" applyFont="1" applyFill="1" applyBorder="1" applyAlignment="1">
      <alignment horizontal="center"/>
    </xf>
    <xf numFmtId="17" fontId="26" fillId="35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justify" vertical="center" wrapText="1"/>
    </xf>
    <xf numFmtId="1" fontId="4" fillId="0" borderId="1" xfId="0" applyNumberFormat="1" applyFont="1" applyFill="1" applyBorder="1" applyAlignment="1">
      <alignment horizontal="justify" vertical="center" wrapText="1"/>
    </xf>
    <xf numFmtId="0" fontId="4" fillId="35" borderId="1" xfId="0" applyFont="1" applyFill="1" applyBorder="1" applyAlignment="1">
      <alignment horizontal="justify" vertical="center" wrapText="1"/>
    </xf>
    <xf numFmtId="3" fontId="4" fillId="0" borderId="1" xfId="0" applyNumberFormat="1" applyFont="1" applyFill="1" applyBorder="1" applyAlignment="1">
      <alignment horizontal="justify" vertical="center" wrapText="1"/>
    </xf>
    <xf numFmtId="3" fontId="4" fillId="35" borderId="1" xfId="0" applyNumberFormat="1" applyFont="1" applyFill="1" applyBorder="1" applyAlignment="1">
      <alignment horizontal="justify" vertical="center" wrapText="1"/>
    </xf>
    <xf numFmtId="0" fontId="28" fillId="0" borderId="7" xfId="0" applyFont="1" applyBorder="1" applyAlignment="1">
      <alignment horizontal="left" vertical="center"/>
    </xf>
    <xf numFmtId="0" fontId="29" fillId="36" borderId="7" xfId="0" applyFont="1" applyFill="1" applyBorder="1" applyAlignment="1">
      <alignment horizontal="left" vertical="center"/>
    </xf>
    <xf numFmtId="1" fontId="29" fillId="36" borderId="8" xfId="0" applyNumberFormat="1" applyFont="1" applyFill="1" applyBorder="1" applyAlignment="1">
      <alignment horizontal="center" vertical="center"/>
    </xf>
    <xf numFmtId="0" fontId="29" fillId="36" borderId="5" xfId="0" applyFont="1" applyFill="1" applyBorder="1" applyAlignment="1">
      <alignment horizontal="left" vertical="center"/>
    </xf>
    <xf numFmtId="9" fontId="29" fillId="36" borderId="8" xfId="1" applyFont="1" applyFill="1" applyBorder="1" applyAlignment="1">
      <alignment horizontal="center" vertical="center"/>
    </xf>
    <xf numFmtId="1" fontId="32" fillId="36" borderId="6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justify" vertical="center" wrapText="1"/>
    </xf>
    <xf numFmtId="9" fontId="0" fillId="0" borderId="0" xfId="1" applyFont="1" applyFill="1"/>
    <xf numFmtId="0" fontId="29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6" fillId="0" borderId="0" xfId="0" applyFont="1"/>
    <xf numFmtId="0" fontId="37" fillId="0" borderId="0" xfId="0" applyFont="1"/>
    <xf numFmtId="0" fontId="29" fillId="0" borderId="0" xfId="0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3" fontId="29" fillId="0" borderId="8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0" xfId="0" applyBorder="1"/>
    <xf numFmtId="1" fontId="32" fillId="36" borderId="19" xfId="0" applyNumberFormat="1" applyFont="1" applyFill="1" applyBorder="1" applyAlignment="1">
      <alignment horizontal="left" vertical="center"/>
    </xf>
    <xf numFmtId="1" fontId="29" fillId="36" borderId="19" xfId="0" applyNumberFormat="1" applyFont="1" applyFill="1" applyBorder="1" applyAlignment="1">
      <alignment horizontal="center" vertical="center"/>
    </xf>
    <xf numFmtId="169" fontId="29" fillId="36" borderId="20" xfId="0" applyNumberFormat="1" applyFont="1" applyFill="1" applyBorder="1" applyAlignment="1">
      <alignment horizontal="center" vertical="center"/>
    </xf>
    <xf numFmtId="1" fontId="29" fillId="36" borderId="20" xfId="0" applyNumberFormat="1" applyFont="1" applyFill="1" applyBorder="1" applyAlignment="1">
      <alignment horizontal="center" vertical="center"/>
    </xf>
    <xf numFmtId="0" fontId="0" fillId="34" borderId="20" xfId="0" applyFill="1" applyBorder="1" applyAlignment="1">
      <alignment horizontal="center"/>
    </xf>
    <xf numFmtId="0" fontId="40" fillId="37" borderId="21" xfId="0" applyFont="1" applyFill="1" applyBorder="1" applyAlignment="1">
      <alignment horizontal="center"/>
    </xf>
    <xf numFmtId="0" fontId="40" fillId="37" borderId="22" xfId="0" applyFont="1" applyFill="1" applyBorder="1" applyAlignment="1">
      <alignment horizontal="center"/>
    </xf>
    <xf numFmtId="0" fontId="40" fillId="37" borderId="22" xfId="0" applyFont="1" applyFill="1" applyBorder="1"/>
    <xf numFmtId="0" fontId="40" fillId="37" borderId="23" xfId="0" applyFont="1" applyFill="1" applyBorder="1" applyAlignment="1">
      <alignment horizontal="center"/>
    </xf>
    <xf numFmtId="0" fontId="0" fillId="38" borderId="24" xfId="0" applyFill="1" applyBorder="1" applyAlignment="1">
      <alignment horizontal="center"/>
    </xf>
    <xf numFmtId="0" fontId="0" fillId="38" borderId="0" xfId="0" applyFill="1" applyBorder="1" applyAlignment="1">
      <alignment horizontal="center"/>
    </xf>
    <xf numFmtId="0" fontId="0" fillId="38" borderId="0" xfId="0" applyFill="1" applyBorder="1"/>
    <xf numFmtId="0" fontId="0" fillId="38" borderId="25" xfId="0" applyFill="1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34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7" fillId="0" borderId="0" xfId="0" applyFont="1" applyBorder="1" applyAlignment="1">
      <alignment horizontal="center"/>
    </xf>
    <xf numFmtId="164" fontId="37" fillId="0" borderId="25" xfId="0" applyNumberFormat="1" applyFont="1" applyBorder="1"/>
    <xf numFmtId="164" fontId="0" fillId="0" borderId="0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38" borderId="26" xfId="0" applyFill="1" applyBorder="1"/>
    <xf numFmtId="164" fontId="37" fillId="0" borderId="27" xfId="0" applyNumberFormat="1" applyFont="1" applyBorder="1"/>
    <xf numFmtId="168" fontId="0" fillId="34" borderId="20" xfId="0" applyNumberFormat="1" applyFill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1" fontId="4" fillId="35" borderId="1" xfId="0" applyNumberFormat="1" applyFont="1" applyFill="1" applyBorder="1" applyAlignment="1">
      <alignment horizontal="justify" vertical="center" wrapText="1"/>
    </xf>
    <xf numFmtId="170" fontId="0" fillId="0" borderId="0" xfId="0" applyNumberFormat="1" applyFill="1"/>
    <xf numFmtId="1" fontId="0" fillId="0" borderId="0" xfId="0" applyNumberFormat="1" applyFill="1"/>
    <xf numFmtId="2" fontId="29" fillId="0" borderId="0" xfId="0" applyNumberFormat="1" applyFont="1" applyFill="1" applyBorder="1" applyAlignment="1">
      <alignment horizontal="center" vertical="center"/>
    </xf>
    <xf numFmtId="0" fontId="29" fillId="36" borderId="0" xfId="0" applyFont="1" applyFill="1" applyBorder="1" applyAlignment="1">
      <alignment horizontal="center" vertical="center"/>
    </xf>
    <xf numFmtId="0" fontId="36" fillId="0" borderId="20" xfId="0" applyFont="1" applyBorder="1"/>
    <xf numFmtId="0" fontId="29" fillId="0" borderId="20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 wrapText="1"/>
    </xf>
    <xf numFmtId="3" fontId="29" fillId="0" borderId="0" xfId="0" applyNumberFormat="1" applyFont="1" applyBorder="1" applyAlignment="1">
      <alignment horizontal="center" vertical="center"/>
    </xf>
    <xf numFmtId="0" fontId="29" fillId="0" borderId="20" xfId="0" applyFont="1" applyBorder="1" applyAlignment="1">
      <alignment horizontal="lef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9" fontId="0" fillId="0" borderId="0" xfId="1" applyFont="1" applyBorder="1"/>
    <xf numFmtId="3" fontId="29" fillId="0" borderId="20" xfId="0" applyNumberFormat="1" applyFont="1" applyFill="1" applyBorder="1" applyAlignment="1">
      <alignment horizontal="center" vertical="center"/>
    </xf>
    <xf numFmtId="1" fontId="38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justify" vertical="center" wrapText="1"/>
    </xf>
    <xf numFmtId="165" fontId="4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3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9" fillId="36" borderId="0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38" fillId="0" borderId="0" xfId="0" applyFont="1" applyFill="1" applyBorder="1" applyAlignment="1">
      <alignment horizontal="left" vertical="center"/>
    </xf>
    <xf numFmtId="3" fontId="38" fillId="0" borderId="0" xfId="0" applyNumberFormat="1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horizontal="left" vertical="center" wrapText="1"/>
    </xf>
    <xf numFmtId="0" fontId="29" fillId="36" borderId="20" xfId="0" applyFont="1" applyFill="1" applyBorder="1" applyAlignment="1">
      <alignment horizontal="left" vertical="center"/>
    </xf>
    <xf numFmtId="3" fontId="29" fillId="36" borderId="20" xfId="0" applyNumberFormat="1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 wrapText="1"/>
    </xf>
    <xf numFmtId="0" fontId="37" fillId="0" borderId="20" xfId="0" applyFont="1" applyBorder="1"/>
    <xf numFmtId="0" fontId="29" fillId="0" borderId="30" xfId="0" applyFont="1" applyBorder="1" applyAlignment="1">
      <alignment horizontal="center" vertical="center"/>
    </xf>
    <xf numFmtId="0" fontId="36" fillId="0" borderId="0" xfId="0" applyFont="1" applyBorder="1"/>
    <xf numFmtId="0" fontId="29" fillId="0" borderId="20" xfId="0" applyFont="1" applyBorder="1" applyAlignment="1">
      <alignment vertical="center" wrapText="1"/>
    </xf>
    <xf numFmtId="2" fontId="0" fillId="0" borderId="0" xfId="0" applyNumberFormat="1"/>
    <xf numFmtId="0" fontId="29" fillId="0" borderId="0" xfId="0" applyFont="1" applyFill="1" applyBorder="1" applyAlignment="1">
      <alignment horizontal="left" vertical="center" wrapText="1"/>
    </xf>
    <xf numFmtId="0" fontId="29" fillId="36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4" fillId="39" borderId="20" xfId="0" applyFont="1" applyFill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left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2" fillId="40" borderId="20" xfId="0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2" fillId="40" borderId="5" xfId="0" applyFont="1" applyFill="1" applyBorder="1" applyAlignment="1">
      <alignment horizontal="center" vertical="center" wrapText="1"/>
    </xf>
    <xf numFmtId="0" fontId="32" fillId="40" borderId="6" xfId="0" applyFont="1" applyFill="1" applyBorder="1" applyAlignment="1">
      <alignment horizontal="center" vertical="center"/>
    </xf>
    <xf numFmtId="0" fontId="32" fillId="40" borderId="20" xfId="0" applyFont="1" applyFill="1" applyBorder="1" applyAlignment="1">
      <alignment horizontal="center" vertical="center" wrapText="1"/>
    </xf>
    <xf numFmtId="0" fontId="46" fillId="40" borderId="20" xfId="0" applyFont="1" applyFill="1" applyBorder="1" applyAlignment="1">
      <alignment horizontal="center" vertical="center" wrapText="1"/>
    </xf>
    <xf numFmtId="0" fontId="46" fillId="40" borderId="20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/>
    </xf>
    <xf numFmtId="3" fontId="47" fillId="36" borderId="8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9" fontId="2" fillId="0" borderId="0" xfId="1" applyFont="1" applyAlignment="1">
      <alignment horizontal="center"/>
    </xf>
    <xf numFmtId="0" fontId="48" fillId="4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" fontId="32" fillId="40" borderId="6" xfId="0" applyNumberFormat="1" applyFont="1" applyFill="1" applyBorder="1" applyAlignment="1">
      <alignment horizontal="center" vertical="center"/>
    </xf>
    <xf numFmtId="1" fontId="32" fillId="40" borderId="20" xfId="0" applyNumberFormat="1" applyFont="1" applyFill="1" applyBorder="1" applyAlignment="1">
      <alignment horizontal="center" vertical="center"/>
    </xf>
    <xf numFmtId="1" fontId="21" fillId="40" borderId="20" xfId="0" applyNumberFormat="1" applyFont="1" applyFill="1" applyBorder="1"/>
    <xf numFmtId="169" fontId="29" fillId="40" borderId="20" xfId="0" applyNumberFormat="1" applyFont="1" applyFill="1" applyBorder="1" applyAlignment="1">
      <alignment horizontal="center" vertical="center"/>
    </xf>
    <xf numFmtId="1" fontId="32" fillId="36" borderId="0" xfId="0" applyNumberFormat="1" applyFont="1" applyFill="1" applyBorder="1" applyAlignment="1">
      <alignment horizontal="left" vertical="center"/>
    </xf>
    <xf numFmtId="1" fontId="29" fillId="36" borderId="30" xfId="0" applyNumberFormat="1" applyFont="1" applyFill="1" applyBorder="1" applyAlignment="1">
      <alignment horizontal="center" vertical="center"/>
    </xf>
    <xf numFmtId="0" fontId="35" fillId="0" borderId="20" xfId="0" applyFont="1" applyBorder="1"/>
    <xf numFmtId="0" fontId="39" fillId="40" borderId="20" xfId="0" applyFont="1" applyFill="1" applyBorder="1" applyAlignment="1">
      <alignment horizontal="center"/>
    </xf>
    <xf numFmtId="0" fontId="39" fillId="0" borderId="20" xfId="0" applyFont="1" applyBorder="1"/>
    <xf numFmtId="167" fontId="35" fillId="0" borderId="20" xfId="0" applyNumberFormat="1" applyFont="1" applyBorder="1"/>
    <xf numFmtId="0" fontId="0" fillId="39" borderId="0" xfId="0" applyFill="1"/>
    <xf numFmtId="0" fontId="32" fillId="40" borderId="20" xfId="0" applyFont="1" applyFill="1" applyBorder="1" applyAlignment="1">
      <alignment horizontal="center" vertical="center"/>
    </xf>
    <xf numFmtId="0" fontId="29" fillId="36" borderId="20" xfId="0" applyFont="1" applyFill="1" applyBorder="1" applyAlignment="1">
      <alignment horizontal="center" vertical="center"/>
    </xf>
    <xf numFmtId="1" fontId="29" fillId="36" borderId="20" xfId="0" applyNumberFormat="1" applyFont="1" applyFill="1" applyBorder="1" applyAlignment="1">
      <alignment horizontal="center" vertical="center"/>
    </xf>
    <xf numFmtId="0" fontId="29" fillId="40" borderId="5" xfId="0" applyFont="1" applyFill="1" applyBorder="1" applyAlignment="1">
      <alignment horizontal="center" vertical="center" wrapText="1"/>
    </xf>
    <xf numFmtId="0" fontId="32" fillId="36" borderId="20" xfId="0" applyFont="1" applyFill="1" applyBorder="1" applyAlignment="1">
      <alignment horizontal="left" vertical="center"/>
    </xf>
    <xf numFmtId="3" fontId="32" fillId="36" borderId="20" xfId="0" applyNumberFormat="1" applyFont="1" applyFill="1" applyBorder="1" applyAlignment="1">
      <alignment horizontal="center" vertical="center"/>
    </xf>
    <xf numFmtId="0" fontId="49" fillId="36" borderId="20" xfId="0" applyFont="1" applyFill="1" applyBorder="1" applyAlignment="1">
      <alignment horizontal="left" vertical="center"/>
    </xf>
    <xf numFmtId="3" fontId="32" fillId="0" borderId="20" xfId="0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0" fontId="32" fillId="0" borderId="20" xfId="0" applyFont="1" applyFill="1" applyBorder="1" applyAlignment="1">
      <alignment horizontal="center" vertical="center"/>
    </xf>
    <xf numFmtId="3" fontId="32" fillId="0" borderId="20" xfId="0" applyNumberFormat="1" applyFont="1" applyFill="1" applyBorder="1" applyAlignment="1">
      <alignment horizontal="center" vertical="center" wrapText="1"/>
    </xf>
    <xf numFmtId="3" fontId="49" fillId="0" borderId="0" xfId="0" applyNumberFormat="1" applyFont="1" applyFill="1" applyBorder="1" applyAlignment="1">
      <alignment horizontal="center" vertical="center"/>
    </xf>
    <xf numFmtId="3" fontId="35" fillId="0" borderId="20" xfId="0" applyNumberFormat="1" applyFont="1" applyBorder="1"/>
    <xf numFmtId="17" fontId="26" fillId="35" borderId="35" xfId="0" applyNumberFormat="1" applyFont="1" applyFill="1" applyBorder="1" applyAlignment="1">
      <alignment horizontal="center"/>
    </xf>
    <xf numFmtId="3" fontId="4" fillId="0" borderId="35" xfId="0" applyNumberFormat="1" applyFont="1" applyBorder="1" applyAlignment="1">
      <alignment horizontal="justify" vertical="center" wrapText="1"/>
    </xf>
    <xf numFmtId="1" fontId="4" fillId="0" borderId="35" xfId="0" applyNumberFormat="1" applyFont="1" applyBorder="1" applyAlignment="1">
      <alignment horizontal="justify" vertical="center" wrapText="1"/>
    </xf>
    <xf numFmtId="3" fontId="4" fillId="0" borderId="35" xfId="0" applyNumberFormat="1" applyFont="1" applyFill="1" applyBorder="1" applyAlignment="1">
      <alignment horizontal="justify" vertical="center" wrapText="1"/>
    </xf>
    <xf numFmtId="1" fontId="4" fillId="0" borderId="35" xfId="0" applyNumberFormat="1" applyFont="1" applyFill="1" applyBorder="1" applyAlignment="1">
      <alignment horizontal="justify" vertical="center" wrapText="1"/>
    </xf>
    <xf numFmtId="0" fontId="4" fillId="35" borderId="35" xfId="0" applyFont="1" applyFill="1" applyBorder="1" applyAlignment="1">
      <alignment horizontal="justify" vertical="center" wrapText="1"/>
    </xf>
    <xf numFmtId="1" fontId="4" fillId="35" borderId="35" xfId="0" applyNumberFormat="1" applyFont="1" applyFill="1" applyBorder="1" applyAlignment="1">
      <alignment horizontal="justify" vertical="center" wrapText="1"/>
    </xf>
    <xf numFmtId="3" fontId="4" fillId="35" borderId="35" xfId="0" applyNumberFormat="1" applyFont="1" applyFill="1" applyBorder="1" applyAlignment="1">
      <alignment horizontal="justify" vertical="center" wrapText="1"/>
    </xf>
    <xf numFmtId="17" fontId="26" fillId="0" borderId="20" xfId="0" applyNumberFormat="1" applyFont="1" applyFill="1" applyBorder="1" applyAlignment="1">
      <alignment horizontal="center"/>
    </xf>
    <xf numFmtId="17" fontId="26" fillId="35" borderId="20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justify" vertical="center" wrapText="1"/>
    </xf>
    <xf numFmtId="3" fontId="0" fillId="0" borderId="20" xfId="0" applyNumberFormat="1" applyBorder="1"/>
    <xf numFmtId="3" fontId="4" fillId="0" borderId="20" xfId="0" applyNumberFormat="1" applyFont="1" applyBorder="1" applyAlignment="1">
      <alignment horizontal="justify" vertical="center" wrapText="1"/>
    </xf>
    <xf numFmtId="1" fontId="4" fillId="0" borderId="20" xfId="0" applyNumberFormat="1" applyFont="1" applyBorder="1" applyAlignment="1">
      <alignment horizontal="justify" vertical="center" wrapText="1"/>
    </xf>
    <xf numFmtId="3" fontId="0" fillId="0" borderId="20" xfId="0" applyNumberFormat="1" applyFill="1" applyBorder="1"/>
    <xf numFmtId="1" fontId="4" fillId="0" borderId="20" xfId="0" applyNumberFormat="1" applyFont="1" applyFill="1" applyBorder="1" applyAlignment="1">
      <alignment horizontal="justify" vertical="center" wrapText="1"/>
    </xf>
    <xf numFmtId="1" fontId="4" fillId="41" borderId="20" xfId="0" applyNumberFormat="1" applyFont="1" applyFill="1" applyBorder="1" applyAlignment="1">
      <alignment horizontal="justify" vertical="center" wrapText="1"/>
    </xf>
    <xf numFmtId="3" fontId="0" fillId="41" borderId="20" xfId="0" applyNumberFormat="1" applyFill="1" applyBorder="1"/>
    <xf numFmtId="3" fontId="4" fillId="41" borderId="20" xfId="0" applyNumberFormat="1" applyFont="1" applyFill="1" applyBorder="1" applyAlignment="1">
      <alignment horizontal="justify" vertical="center" wrapText="1"/>
    </xf>
    <xf numFmtId="4" fontId="0" fillId="0" borderId="0" xfId="0" applyNumberFormat="1" applyFill="1" applyBorder="1"/>
    <xf numFmtId="169" fontId="29" fillId="0" borderId="0" xfId="0" applyNumberFormat="1" applyFont="1" applyBorder="1" applyAlignment="1">
      <alignment horizontal="center" vertical="center"/>
    </xf>
    <xf numFmtId="1" fontId="29" fillId="36" borderId="20" xfId="0" applyNumberFormat="1" applyFont="1" applyFill="1" applyBorder="1" applyAlignment="1">
      <alignment horizontal="center" vertical="center"/>
    </xf>
    <xf numFmtId="3" fontId="0" fillId="0" borderId="0" xfId="0" applyNumberFormat="1" applyBorder="1"/>
    <xf numFmtId="3" fontId="49" fillId="36" borderId="20" xfId="0" applyNumberFormat="1" applyFont="1" applyFill="1" applyBorder="1" applyAlignment="1">
      <alignment horizontal="left" vertical="center"/>
    </xf>
    <xf numFmtId="1" fontId="49" fillId="36" borderId="20" xfId="0" applyNumberFormat="1" applyFont="1" applyFill="1" applyBorder="1" applyAlignment="1">
      <alignment horizontal="left" vertical="center"/>
    </xf>
    <xf numFmtId="1" fontId="29" fillId="36" borderId="20" xfId="0" applyNumberFormat="1" applyFont="1" applyFill="1" applyBorder="1" applyAlignment="1">
      <alignment horizontal="center" vertical="center"/>
    </xf>
    <xf numFmtId="3" fontId="50" fillId="2" borderId="20" xfId="0" applyNumberFormat="1" applyFont="1" applyFill="1" applyBorder="1" applyAlignment="1">
      <alignment horizontal="center" vertical="center" wrapText="1"/>
    </xf>
    <xf numFmtId="3" fontId="50" fillId="42" borderId="20" xfId="0" applyNumberFormat="1" applyFont="1" applyFill="1" applyBorder="1" applyAlignment="1">
      <alignment horizontal="center" vertical="center" wrapText="1"/>
    </xf>
    <xf numFmtId="3" fontId="50" fillId="37" borderId="20" xfId="0" applyNumberFormat="1" applyFont="1" applyFill="1" applyBorder="1" applyAlignment="1">
      <alignment horizontal="center" vertical="center" wrapText="1"/>
    </xf>
    <xf numFmtId="3" fontId="50" fillId="43" borderId="20" xfId="0" applyNumberFormat="1" applyFont="1" applyFill="1" applyBorder="1" applyAlignment="1">
      <alignment horizontal="center" vertical="center" wrapText="1"/>
    </xf>
    <xf numFmtId="3" fontId="50" fillId="44" borderId="20" xfId="0" applyNumberFormat="1" applyFont="1" applyFill="1" applyBorder="1" applyAlignment="1">
      <alignment horizontal="center" vertical="center" wrapText="1"/>
    </xf>
    <xf numFmtId="0" fontId="0" fillId="38" borderId="20" xfId="0" applyFill="1" applyBorder="1"/>
    <xf numFmtId="0" fontId="0" fillId="37" borderId="20" xfId="0" applyFill="1" applyBorder="1"/>
    <xf numFmtId="0" fontId="0" fillId="45" borderId="20" xfId="0" applyFill="1" applyBorder="1"/>
    <xf numFmtId="0" fontId="0" fillId="40" borderId="20" xfId="0" applyFill="1" applyBorder="1"/>
    <xf numFmtId="1" fontId="0" fillId="37" borderId="20" xfId="0" applyNumberFormat="1" applyFill="1" applyBorder="1"/>
    <xf numFmtId="1" fontId="0" fillId="40" borderId="20" xfId="0" applyNumberFormat="1" applyFill="1" applyBorder="1"/>
    <xf numFmtId="1" fontId="0" fillId="45" borderId="20" xfId="0" applyNumberFormat="1" applyFill="1" applyBorder="1"/>
    <xf numFmtId="0" fontId="29" fillId="0" borderId="0" xfId="0" applyFont="1"/>
    <xf numFmtId="2" fontId="29" fillId="0" borderId="20" xfId="0" applyNumberFormat="1" applyFont="1" applyBorder="1" applyAlignment="1">
      <alignment horizontal="center" vertical="center"/>
    </xf>
    <xf numFmtId="3" fontId="0" fillId="38" borderId="20" xfId="0" applyNumberFormat="1" applyFill="1" applyBorder="1" applyAlignment="1">
      <alignment horizontal="center"/>
    </xf>
    <xf numFmtId="0" fontId="29" fillId="0" borderId="0" xfId="0" applyFont="1" applyBorder="1" applyAlignment="1">
      <alignment horizontal="left" vertical="center"/>
    </xf>
    <xf numFmtId="1" fontId="0" fillId="0" borderId="0" xfId="0" applyNumberFormat="1" applyFill="1" applyBorder="1"/>
    <xf numFmtId="3" fontId="35" fillId="0" borderId="0" xfId="0" applyNumberFormat="1" applyFont="1" applyBorder="1" applyAlignment="1">
      <alignment horizontal="center"/>
    </xf>
    <xf numFmtId="2" fontId="29" fillId="0" borderId="20" xfId="0" applyNumberFormat="1" applyFont="1" applyBorder="1" applyAlignment="1">
      <alignment vertical="center" wrapText="1"/>
    </xf>
    <xf numFmtId="3" fontId="29" fillId="0" borderId="0" xfId="0" applyNumberFormat="1" applyFont="1" applyFill="1" applyBorder="1" applyAlignment="1">
      <alignment horizontal="center" vertical="center"/>
    </xf>
    <xf numFmtId="4" fontId="29" fillId="0" borderId="8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3" fontId="29" fillId="0" borderId="0" xfId="0" applyNumberFormat="1" applyFont="1" applyBorder="1" applyAlignment="1">
      <alignment horizontal="center" vertical="center" wrapText="1"/>
    </xf>
    <xf numFmtId="0" fontId="48" fillId="40" borderId="1" xfId="0" applyFont="1" applyFill="1" applyBorder="1" applyAlignment="1">
      <alignment horizontal="center" vertical="center"/>
    </xf>
    <xf numFmtId="0" fontId="28" fillId="36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2" fillId="46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center" vertical="center"/>
    </xf>
    <xf numFmtId="0" fontId="29" fillId="36" borderId="20" xfId="0" applyFont="1" applyFill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/>
    </xf>
    <xf numFmtId="0" fontId="29" fillId="36" borderId="0" xfId="0" applyFont="1" applyFill="1" applyBorder="1" applyAlignment="1">
      <alignment horizontal="center" vertical="center" wrapText="1"/>
    </xf>
    <xf numFmtId="9" fontId="29" fillId="36" borderId="0" xfId="0" applyNumberFormat="1" applyFont="1" applyFill="1" applyBorder="1" applyAlignment="1">
      <alignment horizontal="center" vertical="center"/>
    </xf>
    <xf numFmtId="9" fontId="29" fillId="0" borderId="0" xfId="0" applyNumberFormat="1" applyFont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51" fillId="0" borderId="20" xfId="0" applyNumberFormat="1" applyFont="1" applyBorder="1" applyAlignment="1">
      <alignment horizontal="center" vertical="center" wrapText="1"/>
    </xf>
    <xf numFmtId="3" fontId="51" fillId="0" borderId="20" xfId="0" applyNumberFormat="1" applyFont="1" applyBorder="1" applyAlignment="1">
      <alignment horizontal="center" vertical="center" wrapText="1"/>
    </xf>
    <xf numFmtId="172" fontId="51" fillId="0" borderId="20" xfId="0" applyNumberFormat="1" applyFont="1" applyBorder="1" applyAlignment="1">
      <alignment horizontal="center" vertical="center" wrapText="1"/>
    </xf>
    <xf numFmtId="0" fontId="50" fillId="0" borderId="20" xfId="0" applyNumberFormat="1" applyFont="1" applyBorder="1" applyAlignment="1">
      <alignment horizontal="center" vertical="center" wrapText="1"/>
    </xf>
    <xf numFmtId="0" fontId="47" fillId="46" borderId="0" xfId="0" applyFont="1" applyFill="1" applyBorder="1" applyAlignment="1">
      <alignment horizontal="justify" vertical="center" wrapText="1"/>
    </xf>
    <xf numFmtId="0" fontId="50" fillId="46" borderId="20" xfId="0" applyNumberFormat="1" applyFont="1" applyFill="1" applyBorder="1" applyAlignment="1">
      <alignment horizontal="center" vertical="center" wrapText="1"/>
    </xf>
    <xf numFmtId="4" fontId="29" fillId="0" borderId="20" xfId="1" applyNumberFormat="1" applyFont="1" applyFill="1" applyBorder="1" applyAlignment="1">
      <alignment horizontal="center" vertical="center"/>
    </xf>
    <xf numFmtId="4" fontId="29" fillId="36" borderId="20" xfId="0" applyNumberFormat="1" applyFont="1" applyFill="1" applyBorder="1" applyAlignment="1">
      <alignment horizontal="center" vertical="center"/>
    </xf>
    <xf numFmtId="4" fontId="32" fillId="36" borderId="20" xfId="0" applyNumberFormat="1" applyFont="1" applyFill="1" applyBorder="1" applyAlignment="1">
      <alignment horizontal="center" vertical="center"/>
    </xf>
    <xf numFmtId="0" fontId="34" fillId="46" borderId="1" xfId="0" applyFont="1" applyFill="1" applyBorder="1" applyAlignment="1">
      <alignment horizontal="center" vertical="center"/>
    </xf>
    <xf numFmtId="4" fontId="31" fillId="0" borderId="1" xfId="0" applyNumberFormat="1" applyFont="1" applyBorder="1" applyAlignment="1">
      <alignment horizontal="center" vertical="center"/>
    </xf>
    <xf numFmtId="0" fontId="0" fillId="47" borderId="0" xfId="0" applyFill="1"/>
    <xf numFmtId="4" fontId="29" fillId="0" borderId="20" xfId="0" applyNumberFormat="1" applyFont="1" applyBorder="1" applyAlignment="1">
      <alignment horizontal="center" vertical="center"/>
    </xf>
    <xf numFmtId="4" fontId="32" fillId="0" borderId="20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justify" vertical="center" wrapText="1"/>
    </xf>
    <xf numFmtId="0" fontId="44" fillId="0" borderId="2" xfId="0" applyFont="1" applyBorder="1" applyAlignment="1">
      <alignment horizontal="center" vertical="center" wrapText="1"/>
    </xf>
    <xf numFmtId="9" fontId="44" fillId="0" borderId="2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justify" vertical="center" wrapText="1"/>
    </xf>
    <xf numFmtId="0" fontId="44" fillId="0" borderId="4" xfId="0" applyFont="1" applyBorder="1" applyAlignment="1">
      <alignment horizontal="center" vertical="center" wrapText="1"/>
    </xf>
    <xf numFmtId="9" fontId="44" fillId="0" borderId="4" xfId="0" applyNumberFormat="1" applyFont="1" applyBorder="1" applyAlignment="1">
      <alignment horizontal="center" vertical="center" wrapText="1"/>
    </xf>
    <xf numFmtId="4" fontId="29" fillId="36" borderId="0" xfId="0" applyNumberFormat="1" applyFont="1" applyFill="1" applyBorder="1" applyAlignment="1">
      <alignment horizontal="center" vertical="center"/>
    </xf>
    <xf numFmtId="4" fontId="51" fillId="0" borderId="20" xfId="0" applyNumberFormat="1" applyFont="1" applyBorder="1" applyAlignment="1">
      <alignment horizontal="center" vertical="center" wrapText="1"/>
    </xf>
    <xf numFmtId="4" fontId="50" fillId="2" borderId="20" xfId="0" applyNumberFormat="1" applyFont="1" applyFill="1" applyBorder="1" applyAlignment="1">
      <alignment horizontal="center" vertical="center" wrapText="1"/>
    </xf>
    <xf numFmtId="4" fontId="47" fillId="36" borderId="1" xfId="0" applyNumberFormat="1" applyFont="1" applyFill="1" applyBorder="1" applyAlignment="1">
      <alignment horizontal="center" vertical="center"/>
    </xf>
    <xf numFmtId="4" fontId="47" fillId="0" borderId="1" xfId="0" applyNumberFormat="1" applyFont="1" applyFill="1" applyBorder="1" applyAlignment="1">
      <alignment horizontal="center" vertical="center"/>
    </xf>
    <xf numFmtId="2" fontId="4" fillId="0" borderId="4" xfId="1" applyNumberFormat="1" applyFont="1" applyBorder="1" applyAlignment="1">
      <alignment horizontal="center" vertical="center" wrapText="1"/>
    </xf>
    <xf numFmtId="37" fontId="4" fillId="0" borderId="0" xfId="0" applyNumberFormat="1" applyFont="1" applyFill="1" applyBorder="1" applyAlignment="1">
      <alignment horizontal="center" vertical="center" wrapText="1"/>
    </xf>
    <xf numFmtId="39" fontId="4" fillId="0" borderId="20" xfId="0" applyNumberFormat="1" applyFont="1" applyFill="1" applyBorder="1" applyAlignment="1">
      <alignment horizontal="center" vertical="center" wrapText="1"/>
    </xf>
    <xf numFmtId="0" fontId="21" fillId="0" borderId="0" xfId="0" applyFont="1" applyBorder="1"/>
    <xf numFmtId="4" fontId="29" fillId="0" borderId="0" xfId="0" applyNumberFormat="1" applyFont="1" applyBorder="1" applyAlignment="1">
      <alignment horizontal="center" vertical="center"/>
    </xf>
    <xf numFmtId="165" fontId="29" fillId="0" borderId="0" xfId="1468" applyFont="1" applyBorder="1" applyAlignment="1">
      <alignment vertical="center"/>
    </xf>
    <xf numFmtId="173" fontId="29" fillId="0" borderId="0" xfId="0" applyNumberFormat="1" applyFont="1" applyBorder="1" applyAlignment="1">
      <alignment horizontal="center" vertical="center"/>
    </xf>
    <xf numFmtId="3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3" fontId="32" fillId="0" borderId="0" xfId="0" applyNumberFormat="1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39" borderId="20" xfId="0" applyFont="1" applyFill="1" applyBorder="1" applyAlignment="1">
      <alignment horizontal="left" vertical="center" wrapText="1"/>
    </xf>
    <xf numFmtId="0" fontId="29" fillId="39" borderId="20" xfId="0" applyFont="1" applyFill="1" applyBorder="1" applyAlignment="1">
      <alignment horizontal="center" vertical="center"/>
    </xf>
    <xf numFmtId="3" fontId="29" fillId="39" borderId="20" xfId="0" applyNumberFormat="1" applyFont="1" applyFill="1" applyBorder="1" applyAlignment="1">
      <alignment horizontal="center" vertical="center"/>
    </xf>
    <xf numFmtId="0" fontId="45" fillId="0" borderId="20" xfId="0" applyFont="1" applyBorder="1" applyAlignment="1">
      <alignment horizontal="left" vertical="center" wrapText="1"/>
    </xf>
    <xf numFmtId="3" fontId="45" fillId="0" borderId="20" xfId="0" applyNumberFormat="1" applyFont="1" applyBorder="1" applyAlignment="1">
      <alignment horizontal="center" vertical="center" wrapText="1"/>
    </xf>
    <xf numFmtId="0" fontId="32" fillId="40" borderId="29" xfId="0" applyFont="1" applyFill="1" applyBorder="1" applyAlignment="1">
      <alignment horizontal="center" vertical="center"/>
    </xf>
    <xf numFmtId="0" fontId="29" fillId="0" borderId="20" xfId="0" applyFont="1" applyBorder="1" applyAlignment="1">
      <alignment vertical="center"/>
    </xf>
    <xf numFmtId="3" fontId="29" fillId="0" borderId="33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39" fillId="40" borderId="24" xfId="0" applyFont="1" applyFill="1" applyBorder="1" applyAlignment="1">
      <alignment horizontal="center" vertical="center" wrapText="1"/>
    </xf>
    <xf numFmtId="165" fontId="47" fillId="0" borderId="4" xfId="1468" applyNumberFormat="1" applyFont="1" applyBorder="1" applyAlignment="1">
      <alignment vertical="center" wrapText="1"/>
    </xf>
    <xf numFmtId="165" fontId="51" fillId="0" borderId="20" xfId="0" applyNumberFormat="1" applyFont="1" applyBorder="1" applyAlignment="1">
      <alignment vertical="center" wrapText="1"/>
    </xf>
    <xf numFmtId="2" fontId="0" fillId="38" borderId="20" xfId="0" applyNumberFormat="1" applyFill="1" applyBorder="1" applyAlignment="1">
      <alignment horizontal="center"/>
    </xf>
    <xf numFmtId="4" fontId="0" fillId="38" borderId="20" xfId="0" applyNumberFormat="1" applyFill="1" applyBorder="1" applyAlignment="1">
      <alignment horizontal="center"/>
    </xf>
    <xf numFmtId="4" fontId="21" fillId="40" borderId="20" xfId="0" applyNumberFormat="1" applyFont="1" applyFill="1" applyBorder="1" applyAlignment="1">
      <alignment horizontal="center" vertical="center"/>
    </xf>
    <xf numFmtId="4" fontId="50" fillId="40" borderId="20" xfId="0" applyNumberFormat="1" applyFont="1" applyFill="1" applyBorder="1" applyAlignment="1">
      <alignment horizontal="center" vertical="center" wrapText="1"/>
    </xf>
    <xf numFmtId="165" fontId="0" fillId="37" borderId="20" xfId="0" applyNumberFormat="1" applyFill="1" applyBorder="1" applyAlignment="1">
      <alignment horizontal="center"/>
    </xf>
    <xf numFmtId="165" fontId="0" fillId="45" borderId="20" xfId="0" applyNumberFormat="1" applyFill="1" applyBorder="1" applyAlignment="1">
      <alignment horizontal="center"/>
    </xf>
    <xf numFmtId="165" fontId="0" fillId="40" borderId="20" xfId="0" applyNumberFormat="1" applyFill="1" applyBorder="1" applyAlignment="1">
      <alignment horizontal="center"/>
    </xf>
    <xf numFmtId="2" fontId="0" fillId="37" borderId="20" xfId="0" applyNumberFormat="1" applyFill="1" applyBorder="1" applyAlignment="1">
      <alignment horizontal="center" vertical="center"/>
    </xf>
    <xf numFmtId="2" fontId="0" fillId="45" borderId="20" xfId="0" applyNumberFormat="1" applyFill="1" applyBorder="1" applyAlignment="1">
      <alignment horizontal="center" vertical="center"/>
    </xf>
    <xf numFmtId="2" fontId="0" fillId="40" borderId="20" xfId="0" applyNumberFormat="1" applyFill="1" applyBorder="1" applyAlignment="1">
      <alignment horizontal="center" vertical="center"/>
    </xf>
    <xf numFmtId="168" fontId="0" fillId="0" borderId="0" xfId="0" applyNumberFormat="1"/>
    <xf numFmtId="0" fontId="4" fillId="39" borderId="4" xfId="0" applyFont="1" applyFill="1" applyBorder="1" applyAlignment="1">
      <alignment horizontal="justify" vertical="center" wrapText="1"/>
    </xf>
    <xf numFmtId="0" fontId="4" fillId="39" borderId="4" xfId="0" applyFont="1" applyFill="1" applyBorder="1" applyAlignment="1">
      <alignment horizontal="left" vertical="center" wrapText="1"/>
    </xf>
    <xf numFmtId="0" fontId="0" fillId="0" borderId="20" xfId="0" applyFont="1" applyBorder="1"/>
    <xf numFmtId="0" fontId="0" fillId="0" borderId="0" xfId="0" applyFont="1"/>
    <xf numFmtId="3" fontId="29" fillId="0" borderId="20" xfId="0" applyNumberFormat="1" applyFont="1" applyBorder="1" applyAlignment="1">
      <alignment horizontal="center" vertical="center"/>
    </xf>
    <xf numFmtId="0" fontId="29" fillId="36" borderId="20" xfId="0" applyFont="1" applyFill="1" applyBorder="1" applyAlignment="1">
      <alignment vertical="center" wrapText="1"/>
    </xf>
    <xf numFmtId="2" fontId="2" fillId="0" borderId="20" xfId="0" applyNumberFormat="1" applyFont="1" applyBorder="1" applyAlignment="1">
      <alignment horizontal="center"/>
    </xf>
    <xf numFmtId="0" fontId="29" fillId="0" borderId="31" xfId="0" applyFont="1" applyBorder="1" applyAlignment="1">
      <alignment horizontal="left" vertical="center" wrapText="1"/>
    </xf>
    <xf numFmtId="0" fontId="29" fillId="36" borderId="37" xfId="0" applyFont="1" applyFill="1" applyBorder="1" applyAlignment="1">
      <alignment horizontal="center" vertical="center"/>
    </xf>
    <xf numFmtId="2" fontId="29" fillId="36" borderId="20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justify" vertical="center" wrapText="1"/>
    </xf>
    <xf numFmtId="165" fontId="35" fillId="0" borderId="1" xfId="0" applyNumberFormat="1" applyFont="1" applyBorder="1" applyAlignment="1">
      <alignment horizontal="center" vertical="center"/>
    </xf>
    <xf numFmtId="171" fontId="0" fillId="0" borderId="0" xfId="0" applyNumberFormat="1"/>
    <xf numFmtId="167" fontId="0" fillId="0" borderId="20" xfId="0" applyNumberFormat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54" fillId="0" borderId="0" xfId="0" applyFont="1"/>
    <xf numFmtId="2" fontId="0" fillId="45" borderId="20" xfId="0" applyNumberFormat="1" applyFill="1" applyBorder="1"/>
    <xf numFmtId="2" fontId="0" fillId="40" borderId="20" xfId="0" applyNumberFormat="1" applyFill="1" applyBorder="1"/>
    <xf numFmtId="10" fontId="37" fillId="0" borderId="20" xfId="0" applyNumberFormat="1" applyFont="1" applyBorder="1"/>
    <xf numFmtId="174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vertical="center" wrapText="1"/>
    </xf>
    <xf numFmtId="10" fontId="29" fillId="0" borderId="0" xfId="1" applyNumberFormat="1" applyFont="1" applyFill="1" applyBorder="1" applyAlignment="1">
      <alignment horizontal="center" vertical="center"/>
    </xf>
    <xf numFmtId="9" fontId="48" fillId="36" borderId="1" xfId="0" applyNumberFormat="1" applyFont="1" applyFill="1" applyBorder="1" applyAlignment="1">
      <alignment horizontal="center" vertical="center"/>
    </xf>
    <xf numFmtId="9" fontId="48" fillId="0" borderId="1" xfId="0" applyNumberFormat="1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/>
    </xf>
    <xf numFmtId="3" fontId="47" fillId="0" borderId="0" xfId="0" applyNumberFormat="1" applyFont="1" applyAlignment="1">
      <alignment horizontal="center"/>
    </xf>
    <xf numFmtId="3" fontId="47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166" fontId="0" fillId="0" borderId="0" xfId="0" applyNumberFormat="1" applyBorder="1"/>
    <xf numFmtId="10" fontId="37" fillId="0" borderId="0" xfId="0" applyNumberFormat="1" applyFont="1"/>
    <xf numFmtId="2" fontId="0" fillId="0" borderId="20" xfId="0" applyNumberFormat="1" applyBorder="1" applyAlignment="1">
      <alignment horizontal="center"/>
    </xf>
    <xf numFmtId="167" fontId="0" fillId="0" borderId="0" xfId="0" applyNumberFormat="1"/>
    <xf numFmtId="175" fontId="29" fillId="0" borderId="20" xfId="0" applyNumberFormat="1" applyFont="1" applyBorder="1" applyAlignment="1">
      <alignment horizontal="center" vertical="center"/>
    </xf>
    <xf numFmtId="175" fontId="55" fillId="0" borderId="20" xfId="1468" applyNumberFormat="1" applyFont="1" applyBorder="1" applyAlignment="1">
      <alignment horizontal="center" vertical="center"/>
    </xf>
    <xf numFmtId="175" fontId="35" fillId="39" borderId="20" xfId="0" applyNumberFormat="1" applyFont="1" applyFill="1" applyBorder="1" applyAlignment="1">
      <alignment horizontal="center" vertical="center"/>
    </xf>
    <xf numFmtId="0" fontId="29" fillId="0" borderId="20" xfId="0" applyFont="1" applyBorder="1" applyAlignment="1">
      <alignment horizontal="left" vertical="center"/>
    </xf>
    <xf numFmtId="0" fontId="37" fillId="0" borderId="20" xfId="0" applyFont="1" applyBorder="1" applyAlignment="1">
      <alignment horizontal="center"/>
    </xf>
    <xf numFmtId="4" fontId="53" fillId="0" borderId="20" xfId="0" applyNumberFormat="1" applyFont="1" applyBorder="1" applyAlignment="1">
      <alignment horizontal="center" vertical="center" wrapText="1"/>
    </xf>
    <xf numFmtId="4" fontId="53" fillId="39" borderId="20" xfId="0" applyNumberFormat="1" applyFont="1" applyFill="1" applyBorder="1" applyAlignment="1">
      <alignment horizontal="center" vertical="center" wrapText="1"/>
    </xf>
    <xf numFmtId="0" fontId="4" fillId="39" borderId="20" xfId="0" applyFont="1" applyFill="1" applyBorder="1" applyAlignment="1">
      <alignment horizontal="justify" vertical="center" wrapText="1"/>
    </xf>
    <xf numFmtId="0" fontId="28" fillId="0" borderId="8" xfId="0" applyFont="1" applyBorder="1" applyAlignment="1">
      <alignment vertical="center"/>
    </xf>
    <xf numFmtId="0" fontId="28" fillId="0" borderId="8" xfId="0" applyFont="1" applyBorder="1" applyAlignment="1">
      <alignment vertical="center" wrapText="1"/>
    </xf>
    <xf numFmtId="2" fontId="0" fillId="37" borderId="20" xfId="0" applyNumberFormat="1" applyFill="1" applyBorder="1"/>
    <xf numFmtId="3" fontId="57" fillId="48" borderId="20" xfId="0" applyNumberFormat="1" applyFont="1" applyFill="1" applyBorder="1" applyAlignment="1">
      <alignment horizontal="center" vertical="center" wrapText="1"/>
    </xf>
    <xf numFmtId="3" fontId="57" fillId="48" borderId="33" xfId="0" applyNumberFormat="1" applyFont="1" applyFill="1" applyBorder="1" applyAlignment="1">
      <alignment horizontal="center" vertical="center" wrapText="1"/>
    </xf>
    <xf numFmtId="0" fontId="58" fillId="46" borderId="0" xfId="0" applyFont="1" applyFill="1" applyAlignment="1">
      <alignment horizontal="center"/>
    </xf>
    <xf numFmtId="0" fontId="58" fillId="46" borderId="0" xfId="0" applyFont="1" applyFill="1"/>
    <xf numFmtId="4" fontId="58" fillId="46" borderId="0" xfId="0" applyNumberFormat="1" applyFont="1" applyFill="1"/>
    <xf numFmtId="167" fontId="58" fillId="46" borderId="0" xfId="0" applyNumberFormat="1" applyFont="1" applyFill="1"/>
    <xf numFmtId="9" fontId="0" fillId="0" borderId="0" xfId="0" applyNumberFormat="1" applyBorder="1"/>
    <xf numFmtId="2" fontId="37" fillId="0" borderId="20" xfId="0" applyNumberFormat="1" applyFont="1" applyBorder="1" applyAlignment="1">
      <alignment horizontal="center"/>
    </xf>
    <xf numFmtId="0" fontId="59" fillId="40" borderId="20" xfId="0" applyFont="1" applyFill="1" applyBorder="1" applyAlignment="1">
      <alignment horizontal="center" vertical="center" wrapText="1"/>
    </xf>
    <xf numFmtId="0" fontId="60" fillId="40" borderId="20" xfId="0" applyFont="1" applyFill="1" applyBorder="1" applyAlignment="1">
      <alignment horizontal="center" vertical="center"/>
    </xf>
    <xf numFmtId="0" fontId="55" fillId="0" borderId="20" xfId="0" applyFont="1" applyBorder="1" applyAlignment="1">
      <alignment vertical="center"/>
    </xf>
    <xf numFmtId="0" fontId="61" fillId="0" borderId="20" xfId="0" applyFont="1" applyBorder="1" applyAlignment="1">
      <alignment horizontal="center"/>
    </xf>
    <xf numFmtId="0" fontId="55" fillId="0" borderId="20" xfId="0" applyFont="1" applyBorder="1"/>
    <xf numFmtId="0" fontId="56" fillId="0" borderId="20" xfId="0" applyFont="1" applyFill="1" applyBorder="1" applyAlignment="1">
      <alignment vertical="center"/>
    </xf>
    <xf numFmtId="0" fontId="56" fillId="0" borderId="20" xfId="0" applyFont="1" applyFill="1" applyBorder="1"/>
    <xf numFmtId="0" fontId="29" fillId="0" borderId="20" xfId="0" applyFont="1" applyFill="1" applyBorder="1" applyAlignment="1">
      <alignment vertical="center"/>
    </xf>
    <xf numFmtId="0" fontId="29" fillId="0" borderId="20" xfId="0" applyFont="1" applyFill="1" applyBorder="1" applyAlignment="1"/>
    <xf numFmtId="0" fontId="4" fillId="0" borderId="36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2" fillId="0" borderId="0" xfId="0" applyFont="1" applyFill="1"/>
    <xf numFmtId="14" fontId="64" fillId="0" borderId="0" xfId="0" applyNumberFormat="1" applyFont="1" applyFill="1"/>
    <xf numFmtId="0" fontId="64" fillId="0" borderId="0" xfId="0" applyFont="1" applyFill="1"/>
    <xf numFmtId="4" fontId="64" fillId="0" borderId="0" xfId="0" applyNumberFormat="1" applyFont="1" applyFill="1"/>
    <xf numFmtId="0" fontId="62" fillId="0" borderId="0" xfId="0" applyFont="1" applyFill="1"/>
    <xf numFmtId="0" fontId="63" fillId="0" borderId="0" xfId="0" applyFont="1" applyFill="1"/>
    <xf numFmtId="17" fontId="64" fillId="0" borderId="0" xfId="0" applyNumberFormat="1" applyFont="1" applyFill="1"/>
    <xf numFmtId="2" fontId="0" fillId="0" borderId="0" xfId="0" applyNumberFormat="1" applyFill="1"/>
    <xf numFmtId="16" fontId="64" fillId="0" borderId="0" xfId="0" applyNumberFormat="1" applyFont="1" applyFill="1"/>
    <xf numFmtId="1" fontId="0" fillId="0" borderId="20" xfId="0" applyNumberFormat="1" applyBorder="1" applyAlignment="1">
      <alignment horizontal="center"/>
    </xf>
    <xf numFmtId="4" fontId="53" fillId="0" borderId="20" xfId="0" applyNumberFormat="1" applyFont="1" applyBorder="1" applyAlignment="1">
      <alignment horizontal="center" wrapText="1"/>
    </xf>
    <xf numFmtId="165" fontId="53" fillId="0" borderId="20" xfId="0" applyNumberFormat="1" applyFont="1" applyBorder="1" applyAlignment="1">
      <alignment horizontal="center" wrapText="1"/>
    </xf>
    <xf numFmtId="4" fontId="29" fillId="0" borderId="20" xfId="0" applyNumberFormat="1" applyFont="1" applyBorder="1" applyAlignment="1">
      <alignment horizontal="center"/>
    </xf>
    <xf numFmtId="4" fontId="29" fillId="36" borderId="20" xfId="0" applyNumberFormat="1" applyFont="1" applyFill="1" applyBorder="1" applyAlignment="1">
      <alignment horizontal="center"/>
    </xf>
    <xf numFmtId="0" fontId="5" fillId="46" borderId="20" xfId="0" applyFont="1" applyFill="1" applyBorder="1" applyAlignment="1">
      <alignment horizontal="justify" vertical="center" wrapText="1"/>
    </xf>
    <xf numFmtId="3" fontId="5" fillId="46" borderId="20" xfId="0" applyNumberFormat="1" applyFont="1" applyFill="1" applyBorder="1" applyAlignment="1">
      <alignment horizontal="justify" vertical="center" wrapText="1"/>
    </xf>
    <xf numFmtId="3" fontId="26" fillId="46" borderId="20" xfId="0" applyNumberFormat="1" applyFont="1" applyFill="1" applyBorder="1" applyAlignment="1">
      <alignment vertical="top" wrapText="1"/>
    </xf>
    <xf numFmtId="4" fontId="21" fillId="46" borderId="20" xfId="0" applyNumberFormat="1" applyFont="1" applyFill="1" applyBorder="1"/>
    <xf numFmtId="4" fontId="58" fillId="46" borderId="20" xfId="0" applyNumberFormat="1" applyFont="1" applyFill="1" applyBorder="1"/>
    <xf numFmtId="9" fontId="58" fillId="46" borderId="20" xfId="1" applyFont="1" applyFill="1" applyBorder="1"/>
    <xf numFmtId="0" fontId="21" fillId="46" borderId="33" xfId="0" applyFont="1" applyFill="1" applyBorder="1"/>
    <xf numFmtId="4" fontId="21" fillId="46" borderId="33" xfId="1" applyNumberFormat="1" applyFont="1" applyFill="1" applyBorder="1"/>
    <xf numFmtId="3" fontId="21" fillId="46" borderId="33" xfId="0" applyNumberFormat="1" applyFont="1" applyFill="1" applyBorder="1"/>
    <xf numFmtId="10" fontId="21" fillId="46" borderId="33" xfId="0" applyNumberFormat="1" applyFont="1" applyFill="1" applyBorder="1"/>
    <xf numFmtId="3" fontId="26" fillId="46" borderId="33" xfId="0" applyNumberFormat="1" applyFont="1" applyFill="1" applyBorder="1" applyAlignment="1">
      <alignment vertical="top" wrapText="1"/>
    </xf>
    <xf numFmtId="0" fontId="26" fillId="46" borderId="33" xfId="0" applyNumberFormat="1" applyFont="1" applyFill="1" applyBorder="1" applyAlignment="1">
      <alignment vertical="top" wrapText="1"/>
    </xf>
    <xf numFmtId="4" fontId="21" fillId="46" borderId="33" xfId="0" applyNumberFormat="1" applyFont="1" applyFill="1" applyBorder="1"/>
    <xf numFmtId="0" fontId="5" fillId="0" borderId="0" xfId="0" applyFont="1" applyBorder="1" applyAlignment="1">
      <alignment horizontal="justify" vertical="center"/>
    </xf>
    <xf numFmtId="4" fontId="0" fillId="34" borderId="0" xfId="0" applyNumberFormat="1" applyFill="1" applyAlignment="1">
      <alignment horizontal="right"/>
    </xf>
    <xf numFmtId="3" fontId="0" fillId="34" borderId="0" xfId="0" applyNumberFormat="1" applyFill="1"/>
    <xf numFmtId="4" fontId="0" fillId="34" borderId="0" xfId="0" applyNumberFormat="1" applyFill="1" applyBorder="1"/>
    <xf numFmtId="4" fontId="0" fillId="34" borderId="0" xfId="0" applyNumberFormat="1" applyFill="1"/>
    <xf numFmtId="3" fontId="0" fillId="34" borderId="0" xfId="0" applyNumberFormat="1" applyFill="1" applyAlignment="1">
      <alignment horizontal="center"/>
    </xf>
    <xf numFmtId="0" fontId="32" fillId="40" borderId="29" xfId="0" applyFont="1" applyFill="1" applyBorder="1" applyAlignment="1">
      <alignment horizontal="center" vertical="center" wrapText="1"/>
    </xf>
    <xf numFmtId="0" fontId="32" fillId="40" borderId="30" xfId="0" applyFont="1" applyFill="1" applyBorder="1" applyAlignment="1">
      <alignment horizontal="center" vertical="center" wrapText="1"/>
    </xf>
    <xf numFmtId="0" fontId="36" fillId="0" borderId="31" xfId="0" applyFont="1" applyBorder="1" applyAlignment="1">
      <alignment horizontal="left"/>
    </xf>
    <xf numFmtId="0" fontId="36" fillId="0" borderId="32" xfId="0" applyFont="1" applyBorder="1" applyAlignment="1">
      <alignment horizontal="left"/>
    </xf>
    <xf numFmtId="0" fontId="36" fillId="0" borderId="33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29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/>
    </xf>
    <xf numFmtId="0" fontId="48" fillId="36" borderId="1" xfId="0" applyFont="1" applyFill="1" applyBorder="1" applyAlignment="1">
      <alignment horizontal="center" vertical="center"/>
    </xf>
    <xf numFmtId="0" fontId="48" fillId="46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10" fontId="29" fillId="0" borderId="0" xfId="0" applyNumberFormat="1" applyFont="1" applyBorder="1" applyAlignment="1">
      <alignment horizontal="center" vertical="center"/>
    </xf>
    <xf numFmtId="0" fontId="28" fillId="36" borderId="29" xfId="0" applyFont="1" applyFill="1" applyBorder="1" applyAlignment="1">
      <alignment horizontal="center" vertical="center"/>
    </xf>
    <xf numFmtId="0" fontId="28" fillId="36" borderId="3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419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Гиперссылка" xfId="226" builtinId="8" hidden="1"/>
    <cellStyle name="Гиперссылка" xfId="228" builtinId="8" hidden="1"/>
    <cellStyle name="Гиперссылка" xfId="230" builtinId="8" hidden="1"/>
    <cellStyle name="Гиперссылка" xfId="232" builtinId="8" hidden="1"/>
    <cellStyle name="Гиперссылка" xfId="234" builtinId="8" hidden="1"/>
    <cellStyle name="Гиперссылка" xfId="236" builtinId="8" hidden="1"/>
    <cellStyle name="Гиперссылка" xfId="238" builtinId="8" hidden="1"/>
    <cellStyle name="Гиперссылка" xfId="240" builtinId="8" hidden="1"/>
    <cellStyle name="Гиперссылка" xfId="242" builtinId="8" hidden="1"/>
    <cellStyle name="Гиперссылка" xfId="244" builtinId="8" hidden="1"/>
    <cellStyle name="Гиперссылка" xfId="246" builtinId="8" hidden="1"/>
    <cellStyle name="Гиперссылка" xfId="248" builtinId="8" hidden="1"/>
    <cellStyle name="Гиперссылка" xfId="250" builtinId="8" hidden="1"/>
    <cellStyle name="Гиперссылка" xfId="252" builtinId="8" hidden="1"/>
    <cellStyle name="Гиперссылка" xfId="254" builtinId="8" hidden="1"/>
    <cellStyle name="Гиперссылка" xfId="256" builtinId="8" hidden="1"/>
    <cellStyle name="Гиперссылка" xfId="258" builtinId="8" hidden="1"/>
    <cellStyle name="Гиперссылка" xfId="260" builtinId="8" hidden="1"/>
    <cellStyle name="Гиперссылка" xfId="262" builtinId="8" hidden="1"/>
    <cellStyle name="Гиперссылка" xfId="264" builtinId="8" hidden="1"/>
    <cellStyle name="Гиперссылка" xfId="266" builtinId="8" hidden="1"/>
    <cellStyle name="Гиперссылка" xfId="268" builtinId="8" hidden="1"/>
    <cellStyle name="Гиперссылка" xfId="270" builtinId="8" hidden="1"/>
    <cellStyle name="Гиперссылка" xfId="272" builtinId="8" hidden="1"/>
    <cellStyle name="Гиперссылка" xfId="274" builtinId="8" hidden="1"/>
    <cellStyle name="Гиперссылка" xfId="276" builtinId="8" hidden="1"/>
    <cellStyle name="Гиперссылка" xfId="278" builtinId="8" hidden="1"/>
    <cellStyle name="Гиперссылка" xfId="280" builtinId="8" hidden="1"/>
    <cellStyle name="Гиперссылка" xfId="282" builtinId="8" hidden="1"/>
    <cellStyle name="Гиперссылка" xfId="284" builtinId="8" hidden="1"/>
    <cellStyle name="Гиперссылка" xfId="286" builtinId="8" hidden="1"/>
    <cellStyle name="Гиперссылка" xfId="288" builtinId="8" hidden="1"/>
    <cellStyle name="Гиперссылка" xfId="290" builtinId="8" hidden="1"/>
    <cellStyle name="Гиперссылка" xfId="292" builtinId="8" hidden="1"/>
    <cellStyle name="Гиперссылка" xfId="294" builtinId="8" hidden="1"/>
    <cellStyle name="Гиперссылка" xfId="296" builtinId="8" hidden="1"/>
    <cellStyle name="Гиперссылка" xfId="298" builtinId="8" hidden="1"/>
    <cellStyle name="Гиперссылка" xfId="300" builtinId="8" hidden="1"/>
    <cellStyle name="Гиперссылка" xfId="302" builtinId="8" hidden="1"/>
    <cellStyle name="Гиперссылка" xfId="304" builtinId="8" hidden="1"/>
    <cellStyle name="Гиперссылка" xfId="306" builtinId="8" hidden="1"/>
    <cellStyle name="Гиперссылка" xfId="308" builtinId="8" hidden="1"/>
    <cellStyle name="Гиперссылка" xfId="310" builtinId="8" hidden="1"/>
    <cellStyle name="Гиперссылка" xfId="312" builtinId="8" hidden="1"/>
    <cellStyle name="Гиперссылка" xfId="314" builtinId="8" hidden="1"/>
    <cellStyle name="Гиперссылка" xfId="316" builtinId="8" hidden="1"/>
    <cellStyle name="Гиперссылка" xfId="318" builtinId="8" hidden="1"/>
    <cellStyle name="Гиперссылка" xfId="320" builtinId="8" hidden="1"/>
    <cellStyle name="Гиперссылка" xfId="322" builtinId="8" hidden="1"/>
    <cellStyle name="Гиперссылка" xfId="324" builtinId="8" hidden="1"/>
    <cellStyle name="Гиперссылка" xfId="326" builtinId="8" hidden="1"/>
    <cellStyle name="Гиперссылка" xfId="328" builtinId="8" hidden="1"/>
    <cellStyle name="Гиперссылка" xfId="330" builtinId="8" hidden="1"/>
    <cellStyle name="Гиперссылка" xfId="332" builtinId="8" hidden="1"/>
    <cellStyle name="Гиперссылка" xfId="334" builtinId="8" hidden="1"/>
    <cellStyle name="Гиперссылка" xfId="336" builtinId="8" hidden="1"/>
    <cellStyle name="Гиперссылка" xfId="338" builtinId="8" hidden="1"/>
    <cellStyle name="Гиперссылка" xfId="340" builtinId="8" hidden="1"/>
    <cellStyle name="Гиперссылка" xfId="342" builtinId="8" hidden="1"/>
    <cellStyle name="Гиперссылка" xfId="344" builtinId="8" hidden="1"/>
    <cellStyle name="Гиперссылка" xfId="346" builtinId="8" hidden="1"/>
    <cellStyle name="Гиперссылка" xfId="348" builtinId="8" hidden="1"/>
    <cellStyle name="Гиперссылка" xfId="350" builtinId="8" hidden="1"/>
    <cellStyle name="Гиперссылка" xfId="352" builtinId="8" hidden="1"/>
    <cellStyle name="Гиперссылка" xfId="354" builtinId="8" hidden="1"/>
    <cellStyle name="Гиперссылка" xfId="356" builtinId="8" hidden="1"/>
    <cellStyle name="Гиперссылка" xfId="358" builtinId="8" hidden="1"/>
    <cellStyle name="Гиперссылка" xfId="360" builtinId="8" hidden="1"/>
    <cellStyle name="Гиперссылка" xfId="362" builtinId="8" hidden="1"/>
    <cellStyle name="Гиперссылка" xfId="364" builtinId="8" hidden="1"/>
    <cellStyle name="Гиперссылка" xfId="366" builtinId="8" hidden="1"/>
    <cellStyle name="Гиперссылка" xfId="368" builtinId="8" hidden="1"/>
    <cellStyle name="Гиперссылка" xfId="370" builtinId="8" hidden="1"/>
    <cellStyle name="Гиперссылка" xfId="372" builtinId="8" hidden="1"/>
    <cellStyle name="Гиперссылка" xfId="374" builtinId="8" hidden="1"/>
    <cellStyle name="Гиперссылка" xfId="376" builtinId="8" hidden="1"/>
    <cellStyle name="Гиперссылка" xfId="378" builtinId="8" hidden="1"/>
    <cellStyle name="Гиперссылка" xfId="380" builtinId="8" hidden="1"/>
    <cellStyle name="Гиперссылка" xfId="382" builtinId="8" hidden="1"/>
    <cellStyle name="Гиперссылка" xfId="384" builtinId="8" hidden="1"/>
    <cellStyle name="Гиперссылка" xfId="386" builtinId="8" hidden="1"/>
    <cellStyle name="Гиперссылка" xfId="388" builtinId="8" hidden="1"/>
    <cellStyle name="Гиперссылка" xfId="390" builtinId="8" hidden="1"/>
    <cellStyle name="Гиперссылка" xfId="392" builtinId="8" hidden="1"/>
    <cellStyle name="Гиперссылка" xfId="394" builtinId="8" hidden="1"/>
    <cellStyle name="Гиперссылка" xfId="396" builtinId="8" hidden="1"/>
    <cellStyle name="Гиперссылка" xfId="398" builtinId="8" hidden="1"/>
    <cellStyle name="Гиперссылка" xfId="400" builtinId="8" hidden="1"/>
    <cellStyle name="Гиперссылка" xfId="402" builtinId="8" hidden="1"/>
    <cellStyle name="Гиперссылка" xfId="404" builtinId="8" hidden="1"/>
    <cellStyle name="Гиперссылка" xfId="406" builtinId="8" hidden="1"/>
    <cellStyle name="Гиперссылка" xfId="408" builtinId="8" hidden="1"/>
    <cellStyle name="Гиперссылка" xfId="410" builtinId="8" hidden="1"/>
    <cellStyle name="Гиперссылка" xfId="412" builtinId="8" hidden="1"/>
    <cellStyle name="Гиперссылка" xfId="414" builtinId="8" hidden="1"/>
    <cellStyle name="Гиперссылка" xfId="416" builtinId="8" hidden="1"/>
    <cellStyle name="Гиперссылка" xfId="418" builtinId="8" hidden="1"/>
    <cellStyle name="Гиперссылка" xfId="420" builtinId="8" hidden="1"/>
    <cellStyle name="Гиперссылка" xfId="422" builtinId="8" hidden="1"/>
    <cellStyle name="Гиперссылка" xfId="424" builtinId="8" hidden="1"/>
    <cellStyle name="Гиперссылка" xfId="426" builtinId="8" hidden="1"/>
    <cellStyle name="Гиперссылка" xfId="428" builtinId="8" hidden="1"/>
    <cellStyle name="Гиперссылка" xfId="430" builtinId="8" hidden="1"/>
    <cellStyle name="Гиперссылка" xfId="432" builtinId="8" hidden="1"/>
    <cellStyle name="Гиперссылка" xfId="434" builtinId="8" hidden="1"/>
    <cellStyle name="Гиперссылка" xfId="436" builtinId="8" hidden="1"/>
    <cellStyle name="Гиперссылка" xfId="438" builtinId="8" hidden="1"/>
    <cellStyle name="Гиперссылка" xfId="440" builtinId="8" hidden="1"/>
    <cellStyle name="Гиперссылка" xfId="442" builtinId="8" hidden="1"/>
    <cellStyle name="Гиперссылка" xfId="444" builtinId="8" hidden="1"/>
    <cellStyle name="Гиперссылка" xfId="446" builtinId="8" hidden="1"/>
    <cellStyle name="Гиперссылка" xfId="448" builtinId="8" hidden="1"/>
    <cellStyle name="Гиперссылка" xfId="450" builtinId="8" hidden="1"/>
    <cellStyle name="Гиперссылка" xfId="452" builtinId="8" hidden="1"/>
    <cellStyle name="Гиперссылка" xfId="454" builtinId="8" hidden="1"/>
    <cellStyle name="Гиперссылка" xfId="456" builtinId="8" hidden="1"/>
    <cellStyle name="Гиперссылка" xfId="458" builtinId="8" hidden="1"/>
    <cellStyle name="Гиперссылка" xfId="460" builtinId="8" hidden="1"/>
    <cellStyle name="Гиперссылка" xfId="462" builtinId="8" hidden="1"/>
    <cellStyle name="Гиперссылка" xfId="464" builtinId="8" hidden="1"/>
    <cellStyle name="Гиперссылка" xfId="466" builtinId="8" hidden="1"/>
    <cellStyle name="Гиперссылка" xfId="468" builtinId="8" hidden="1"/>
    <cellStyle name="Гиперссылка" xfId="470" builtinId="8" hidden="1"/>
    <cellStyle name="Гиперссылка" xfId="472" builtinId="8" hidden="1"/>
    <cellStyle name="Гиперссылка" xfId="474" builtinId="8" hidden="1"/>
    <cellStyle name="Гиперссылка" xfId="476" builtinId="8" hidden="1"/>
    <cellStyle name="Гиперссылка" xfId="478" builtinId="8" hidden="1"/>
    <cellStyle name="Гиперссылка" xfId="480" builtinId="8" hidden="1"/>
    <cellStyle name="Гиперссылка" xfId="482" builtinId="8" hidden="1"/>
    <cellStyle name="Гиперссылка" xfId="484" builtinId="8" hidden="1"/>
    <cellStyle name="Гиперссылка" xfId="486" builtinId="8" hidden="1"/>
    <cellStyle name="Гиперссылка" xfId="488" builtinId="8" hidden="1"/>
    <cellStyle name="Гиперссылка" xfId="490" builtinId="8" hidden="1"/>
    <cellStyle name="Гиперссылка" xfId="492" builtinId="8" hidden="1"/>
    <cellStyle name="Гиперссылка" xfId="494" builtinId="8" hidden="1"/>
    <cellStyle name="Гиперссылка" xfId="496" builtinId="8" hidden="1"/>
    <cellStyle name="Гиперссылка" xfId="498" builtinId="8" hidden="1"/>
    <cellStyle name="Гиперссылка" xfId="500" builtinId="8" hidden="1"/>
    <cellStyle name="Гиперссылка" xfId="502" builtinId="8" hidden="1"/>
    <cellStyle name="Гиперссылка" xfId="504" builtinId="8" hidden="1"/>
    <cellStyle name="Гиперссылка" xfId="506" builtinId="8" hidden="1"/>
    <cellStyle name="Гиперссылка" xfId="508" builtinId="8" hidden="1"/>
    <cellStyle name="Гиперссылка" xfId="510" builtinId="8" hidden="1"/>
    <cellStyle name="Гиперссылка" xfId="512" builtinId="8" hidden="1"/>
    <cellStyle name="Гиперссылка" xfId="514" builtinId="8" hidden="1"/>
    <cellStyle name="Гиперссылка" xfId="516" builtinId="8" hidden="1"/>
    <cellStyle name="Гиперссылка" xfId="518" builtinId="8" hidden="1"/>
    <cellStyle name="Гиперссылка" xfId="520" builtinId="8" hidden="1"/>
    <cellStyle name="Гиперссылка" xfId="522" builtinId="8" hidden="1"/>
    <cellStyle name="Гиперссылка" xfId="524" builtinId="8" hidden="1"/>
    <cellStyle name="Гиперссылка" xfId="526" builtinId="8" hidden="1"/>
    <cellStyle name="Гиперссылка" xfId="528" builtinId="8" hidden="1"/>
    <cellStyle name="Гиперссылка" xfId="530" builtinId="8" hidden="1"/>
    <cellStyle name="Гиперссылка" xfId="532" builtinId="8" hidden="1"/>
    <cellStyle name="Гиперссылка" xfId="534" builtinId="8" hidden="1"/>
    <cellStyle name="Гиперссылка" xfId="536" builtinId="8" hidden="1"/>
    <cellStyle name="Гиперссылка" xfId="538" builtinId="8" hidden="1"/>
    <cellStyle name="Гиперссылка" xfId="540" builtinId="8" hidden="1"/>
    <cellStyle name="Гиперссылка" xfId="542" builtinId="8" hidden="1"/>
    <cellStyle name="Гиперссылка" xfId="544" builtinId="8" hidden="1"/>
    <cellStyle name="Гиперссылка" xfId="546" builtinId="8" hidden="1"/>
    <cellStyle name="Гиперссылка" xfId="548" builtinId="8" hidden="1"/>
    <cellStyle name="Гиперссылка" xfId="550" builtinId="8" hidden="1"/>
    <cellStyle name="Гиперссылка" xfId="552" builtinId="8" hidden="1"/>
    <cellStyle name="Гиперссылка" xfId="554" builtinId="8" hidden="1"/>
    <cellStyle name="Гиперссылка" xfId="556" builtinId="8" hidden="1"/>
    <cellStyle name="Гиперссылка" xfId="558" builtinId="8" hidden="1"/>
    <cellStyle name="Гиперссылка" xfId="560" builtinId="8" hidden="1"/>
    <cellStyle name="Гиперссылка" xfId="562" builtinId="8" hidden="1"/>
    <cellStyle name="Гиперссылка" xfId="564" builtinId="8" hidden="1"/>
    <cellStyle name="Гиперссылка" xfId="566" builtinId="8" hidden="1"/>
    <cellStyle name="Гиперссылка" xfId="568" builtinId="8" hidden="1"/>
    <cellStyle name="Гиперссылка" xfId="570" builtinId="8" hidden="1"/>
    <cellStyle name="Гиперссылка" xfId="572" builtinId="8" hidden="1"/>
    <cellStyle name="Гиперссылка" xfId="574" builtinId="8" hidden="1"/>
    <cellStyle name="Гиперссылка" xfId="576" builtinId="8" hidden="1"/>
    <cellStyle name="Гиперссылка" xfId="578" builtinId="8" hidden="1"/>
    <cellStyle name="Гиперссылка" xfId="580" builtinId="8" hidden="1"/>
    <cellStyle name="Гиперссылка" xfId="582" builtinId="8" hidden="1"/>
    <cellStyle name="Гиперссылка" xfId="584" builtinId="8" hidden="1"/>
    <cellStyle name="Гиперссылка" xfId="586" builtinId="8" hidden="1"/>
    <cellStyle name="Гиперссылка" xfId="588" builtinId="8" hidden="1"/>
    <cellStyle name="Гиперссылка" xfId="590" builtinId="8" hidden="1"/>
    <cellStyle name="Гиперссылка" xfId="592" builtinId="8" hidden="1"/>
    <cellStyle name="Гиперссылка" xfId="594" builtinId="8" hidden="1"/>
    <cellStyle name="Гиперссылка" xfId="596" builtinId="8" hidden="1"/>
    <cellStyle name="Гиперссылка" xfId="598" builtinId="8" hidden="1"/>
    <cellStyle name="Гиперссылка" xfId="600" builtinId="8" hidden="1"/>
    <cellStyle name="Гиперссылка" xfId="602" builtinId="8" hidden="1"/>
    <cellStyle name="Гиперссылка" xfId="604" builtinId="8" hidden="1"/>
    <cellStyle name="Гиперссылка" xfId="606" builtinId="8" hidden="1"/>
    <cellStyle name="Гиперссылка" xfId="608" builtinId="8" hidden="1"/>
    <cellStyle name="Гиперссылка" xfId="610" builtinId="8" hidden="1"/>
    <cellStyle name="Гиперссылка" xfId="612" builtinId="8" hidden="1"/>
    <cellStyle name="Гиперссылка" xfId="614" builtinId="8" hidden="1"/>
    <cellStyle name="Гиперссылка" xfId="616" builtinId="8" hidden="1"/>
    <cellStyle name="Гиперссылка" xfId="618" builtinId="8" hidden="1"/>
    <cellStyle name="Гиперссылка" xfId="620" builtinId="8" hidden="1"/>
    <cellStyle name="Гиперссылка" xfId="622" builtinId="8" hidden="1"/>
    <cellStyle name="Гиперссылка" xfId="624" builtinId="8" hidden="1"/>
    <cellStyle name="Гиперссылка" xfId="626" builtinId="8" hidden="1"/>
    <cellStyle name="Гиперссылка" xfId="628" builtinId="8" hidden="1"/>
    <cellStyle name="Гиперссылка" xfId="630" builtinId="8" hidden="1"/>
    <cellStyle name="Гиперссылка" xfId="632" builtinId="8" hidden="1"/>
    <cellStyle name="Гиперссылка" xfId="634" builtinId="8" hidden="1"/>
    <cellStyle name="Гиперссылка" xfId="636" builtinId="8" hidden="1"/>
    <cellStyle name="Гиперссылка" xfId="638" builtinId="8" hidden="1"/>
    <cellStyle name="Гиперссылка" xfId="640" builtinId="8" hidden="1"/>
    <cellStyle name="Гиперссылка" xfId="642" builtinId="8" hidden="1"/>
    <cellStyle name="Гиперссылка" xfId="644" builtinId="8" hidden="1"/>
    <cellStyle name="Гиперссылка" xfId="646" builtinId="8" hidden="1"/>
    <cellStyle name="Гиперссылка" xfId="648" builtinId="8" hidden="1"/>
    <cellStyle name="Гиперссылка" xfId="650" builtinId="8" hidden="1"/>
    <cellStyle name="Гиперссылка" xfId="652" builtinId="8" hidden="1"/>
    <cellStyle name="Гиперссылка" xfId="654" builtinId="8" hidden="1"/>
    <cellStyle name="Гиперссылка" xfId="656" builtinId="8" hidden="1"/>
    <cellStyle name="Гиперссылка" xfId="658" builtinId="8" hidden="1"/>
    <cellStyle name="Гиперссылка" xfId="660" builtinId="8" hidden="1"/>
    <cellStyle name="Гиперссылка" xfId="662" builtinId="8" hidden="1"/>
    <cellStyle name="Гиперссылка" xfId="664" builtinId="8" hidden="1"/>
    <cellStyle name="Гиперссылка" xfId="666" builtinId="8" hidden="1"/>
    <cellStyle name="Гиперссылка" xfId="668" builtinId="8" hidden="1"/>
    <cellStyle name="Гиперссылка" xfId="670" builtinId="8" hidden="1"/>
    <cellStyle name="Гиперссылка" xfId="672" builtinId="8" hidden="1"/>
    <cellStyle name="Гиперссылка" xfId="674" builtinId="8" hidden="1"/>
    <cellStyle name="Гиперссылка" xfId="676" builtinId="8" hidden="1"/>
    <cellStyle name="Гиперссылка" xfId="678" builtinId="8" hidden="1"/>
    <cellStyle name="Гиперссылка" xfId="680" builtinId="8" hidden="1"/>
    <cellStyle name="Гиперссылка" xfId="682" builtinId="8" hidden="1"/>
    <cellStyle name="Гиперссылка" xfId="684" builtinId="8" hidden="1"/>
    <cellStyle name="Гиперссылка" xfId="686" builtinId="8" hidden="1"/>
    <cellStyle name="Гиперссылка" xfId="688" builtinId="8" hidden="1"/>
    <cellStyle name="Гиперссылка" xfId="690" builtinId="8" hidden="1"/>
    <cellStyle name="Гиперссылка" xfId="692" builtinId="8" hidden="1"/>
    <cellStyle name="Гиперссылка" xfId="694" builtinId="8" hidden="1"/>
    <cellStyle name="Гиперссылка" xfId="696" builtinId="8" hidden="1"/>
    <cellStyle name="Гиперссылка" xfId="698" builtinId="8" hidden="1"/>
    <cellStyle name="Гиперссылка" xfId="700" builtinId="8" hidden="1"/>
    <cellStyle name="Гиперссылка" xfId="702" builtinId="8" hidden="1"/>
    <cellStyle name="Гиперссылка" xfId="704" builtinId="8" hidden="1"/>
    <cellStyle name="Гиперссылка" xfId="706" builtinId="8" hidden="1"/>
    <cellStyle name="Гиперссылка" xfId="708" builtinId="8" hidden="1"/>
    <cellStyle name="Гиперссылка" xfId="710" builtinId="8" hidden="1"/>
    <cellStyle name="Гиперссылка" xfId="712" builtinId="8" hidden="1"/>
    <cellStyle name="Гиперссылка" xfId="714" builtinId="8" hidden="1"/>
    <cellStyle name="Гиперссылка" xfId="716" builtinId="8" hidden="1"/>
    <cellStyle name="Гиперссылка" xfId="718" builtinId="8" hidden="1"/>
    <cellStyle name="Гиперссылка" xfId="720" builtinId="8" hidden="1"/>
    <cellStyle name="Гиперссылка" xfId="722" builtinId="8" hidden="1"/>
    <cellStyle name="Гиперссылка" xfId="724" builtinId="8" hidden="1"/>
    <cellStyle name="Гиперссылка" xfId="726" builtinId="8" hidden="1"/>
    <cellStyle name="Гиперссылка" xfId="728" builtinId="8" hidden="1"/>
    <cellStyle name="Гиперссылка" xfId="730" builtinId="8" hidden="1"/>
    <cellStyle name="Гиперссылка" xfId="732" builtinId="8" hidden="1"/>
    <cellStyle name="Гиперссылка" xfId="734" builtinId="8" hidden="1"/>
    <cellStyle name="Гиперссылка" xfId="736" builtinId="8" hidden="1"/>
    <cellStyle name="Гиперссылка" xfId="738" builtinId="8" hidden="1"/>
    <cellStyle name="Гиперссылка" xfId="740" builtinId="8" hidden="1"/>
    <cellStyle name="Гиперссылка" xfId="742" builtinId="8" hidden="1"/>
    <cellStyle name="Гиперссылка" xfId="744" builtinId="8" hidden="1"/>
    <cellStyle name="Гиперссылка" xfId="746" builtinId="8" hidden="1"/>
    <cellStyle name="Гиперссылка" xfId="748" builtinId="8" hidden="1"/>
    <cellStyle name="Гиперссылка" xfId="750" builtinId="8" hidden="1"/>
    <cellStyle name="Гиперссылка" xfId="752" builtinId="8" hidden="1"/>
    <cellStyle name="Гиперссылка" xfId="754" builtinId="8" hidden="1"/>
    <cellStyle name="Гиперссылка" xfId="756" builtinId="8" hidden="1"/>
    <cellStyle name="Гиперссылка" xfId="758" builtinId="8" hidden="1"/>
    <cellStyle name="Гиперссылка" xfId="760" builtinId="8" hidden="1"/>
    <cellStyle name="Гиперссылка" xfId="762" builtinId="8" hidden="1"/>
    <cellStyle name="Гиперссылка" xfId="764" builtinId="8" hidden="1"/>
    <cellStyle name="Гиперссылка" xfId="766" builtinId="8" hidden="1"/>
    <cellStyle name="Гиперссылка" xfId="768" builtinId="8" hidden="1"/>
    <cellStyle name="Гиперссылка" xfId="770" builtinId="8" hidden="1"/>
    <cellStyle name="Гиперссылка" xfId="772" builtinId="8" hidden="1"/>
    <cellStyle name="Гиперссылка" xfId="774" builtinId="8" hidden="1"/>
    <cellStyle name="Гиперссылка" xfId="776" builtinId="8" hidden="1"/>
    <cellStyle name="Гиперссылка" xfId="778" builtinId="8" hidden="1"/>
    <cellStyle name="Гиперссылка" xfId="780" builtinId="8" hidden="1"/>
    <cellStyle name="Гиперссылка" xfId="782" builtinId="8" hidden="1"/>
    <cellStyle name="Гиперссылка" xfId="784" builtinId="8" hidden="1"/>
    <cellStyle name="Гиперссылка" xfId="786" builtinId="8" hidden="1"/>
    <cellStyle name="Гиперссылка" xfId="788" builtinId="8" hidden="1"/>
    <cellStyle name="Гиперссылка" xfId="790" builtinId="8" hidden="1"/>
    <cellStyle name="Гиперссылка" xfId="792" builtinId="8" hidden="1"/>
    <cellStyle name="Гиперссылка" xfId="794" builtinId="8" hidden="1"/>
    <cellStyle name="Гиперссылка" xfId="796" builtinId="8" hidden="1"/>
    <cellStyle name="Гиперссылка" xfId="798" builtinId="8" hidden="1"/>
    <cellStyle name="Гиперссылка" xfId="800" builtinId="8" hidden="1"/>
    <cellStyle name="Гиперссылка" xfId="802" builtinId="8" hidden="1"/>
    <cellStyle name="Гиперссылка" xfId="804" builtinId="8" hidden="1"/>
    <cellStyle name="Гиперссылка" xfId="806" builtinId="8" hidden="1"/>
    <cellStyle name="Гиперссылка" xfId="808" builtinId="8" hidden="1"/>
    <cellStyle name="Гиперссылка" xfId="810" builtinId="8" hidden="1"/>
    <cellStyle name="Гиперссылка" xfId="812" builtinId="8" hidden="1"/>
    <cellStyle name="Гиперссылка" xfId="814" builtinId="8" hidden="1"/>
    <cellStyle name="Гиперссылка" xfId="816" builtinId="8" hidden="1"/>
    <cellStyle name="Гиперссылка" xfId="818" builtinId="8" hidden="1"/>
    <cellStyle name="Гиперссылка" xfId="820" builtinId="8" hidden="1"/>
    <cellStyle name="Гиперссылка" xfId="822" builtinId="8" hidden="1"/>
    <cellStyle name="Гиперссылка" xfId="824" builtinId="8" hidden="1"/>
    <cellStyle name="Гиперссылка" xfId="826" builtinId="8" hidden="1"/>
    <cellStyle name="Гиперссылка" xfId="828" builtinId="8" hidden="1"/>
    <cellStyle name="Гиперссылка" xfId="830" builtinId="8" hidden="1"/>
    <cellStyle name="Гиперссылка" xfId="832" builtinId="8" hidden="1"/>
    <cellStyle name="Гиперссылка" xfId="834" builtinId="8" hidden="1"/>
    <cellStyle name="Гиперссылка" xfId="836" builtinId="8" hidden="1"/>
    <cellStyle name="Гиперссылка" xfId="838" builtinId="8" hidden="1"/>
    <cellStyle name="Гиперссылка" xfId="840" builtinId="8" hidden="1"/>
    <cellStyle name="Гиперссылка" xfId="842" builtinId="8" hidden="1"/>
    <cellStyle name="Гиперссылка" xfId="844" builtinId="8" hidden="1"/>
    <cellStyle name="Гиперссылка" xfId="846" builtinId="8" hidden="1"/>
    <cellStyle name="Гиперссылка" xfId="848" builtinId="8" hidden="1"/>
    <cellStyle name="Гиперссылка" xfId="850" builtinId="8" hidden="1"/>
    <cellStyle name="Гиперссылка" xfId="852" builtinId="8" hidden="1"/>
    <cellStyle name="Гиперссылка" xfId="854" builtinId="8" hidden="1"/>
    <cellStyle name="Гиперссылка" xfId="856" builtinId="8" hidden="1"/>
    <cellStyle name="Гиперссылка" xfId="858" builtinId="8" hidden="1"/>
    <cellStyle name="Гиперссылка" xfId="860" builtinId="8" hidden="1"/>
    <cellStyle name="Гиперссылка" xfId="862" builtinId="8" hidden="1"/>
    <cellStyle name="Гиперссылка" xfId="864" builtinId="8" hidden="1"/>
    <cellStyle name="Гиперссылка" xfId="866" builtinId="8" hidden="1"/>
    <cellStyle name="Гиперссылка" xfId="868" builtinId="8" hidden="1"/>
    <cellStyle name="Гиперссылка" xfId="870" builtinId="8" hidden="1"/>
    <cellStyle name="Гиперссылка" xfId="872" builtinId="8" hidden="1"/>
    <cellStyle name="Гиперссылка" xfId="874" builtinId="8" hidden="1"/>
    <cellStyle name="Гиперссылка" xfId="876" builtinId="8" hidden="1"/>
    <cellStyle name="Гиперссылка" xfId="878" builtinId="8" hidden="1"/>
    <cellStyle name="Гиперссылка" xfId="880" builtinId="8" hidden="1"/>
    <cellStyle name="Гиперссылка" xfId="882" builtinId="8" hidden="1"/>
    <cellStyle name="Гиперссылка" xfId="884" builtinId="8" hidden="1"/>
    <cellStyle name="Гиперссылка" xfId="886" builtinId="8" hidden="1"/>
    <cellStyle name="Гиперссылка" xfId="888" builtinId="8" hidden="1"/>
    <cellStyle name="Гиперссылка" xfId="890" builtinId="8" hidden="1"/>
    <cellStyle name="Гиперссылка" xfId="892" builtinId="8" hidden="1"/>
    <cellStyle name="Гиперссылка" xfId="894" builtinId="8" hidden="1"/>
    <cellStyle name="Гиперссылка" xfId="896" builtinId="8" hidden="1"/>
    <cellStyle name="Гиперссылка" xfId="898" builtinId="8" hidden="1"/>
    <cellStyle name="Гиперссылка" xfId="900" builtinId="8" hidden="1"/>
    <cellStyle name="Гиперссылка" xfId="902" builtinId="8" hidden="1"/>
    <cellStyle name="Гиперссылка" xfId="904" builtinId="8" hidden="1"/>
    <cellStyle name="Гиперссылка" xfId="906" builtinId="8" hidden="1"/>
    <cellStyle name="Гиперссылка" xfId="908" builtinId="8" hidden="1"/>
    <cellStyle name="Гиперссылка" xfId="910" builtinId="8" hidden="1"/>
    <cellStyle name="Гиперссылка" xfId="912" builtinId="8" hidden="1"/>
    <cellStyle name="Гиперссылка" xfId="914" builtinId="8" hidden="1"/>
    <cellStyle name="Гиперссылка" xfId="916" builtinId="8" hidden="1"/>
    <cellStyle name="Гиперссылка" xfId="918" builtinId="8" hidden="1"/>
    <cellStyle name="Гиперссылка" xfId="920" builtinId="8" hidden="1"/>
    <cellStyle name="Гиперссылка" xfId="922" builtinId="8" hidden="1"/>
    <cellStyle name="Гиперссылка" xfId="924" builtinId="8" hidden="1"/>
    <cellStyle name="Гиперссылка" xfId="926" builtinId="8" hidden="1"/>
    <cellStyle name="Гиперссылка" xfId="928" builtinId="8" hidden="1"/>
    <cellStyle name="Гиперссылка" xfId="930" builtinId="8" hidden="1"/>
    <cellStyle name="Гиперссылка" xfId="932" builtinId="8" hidden="1"/>
    <cellStyle name="Гиперссылка" xfId="934" builtinId="8" hidden="1"/>
    <cellStyle name="Гиперссылка" xfId="936" builtinId="8" hidden="1"/>
    <cellStyle name="Гиперссылка" xfId="938" builtinId="8" hidden="1"/>
    <cellStyle name="Гиперссылка" xfId="940" builtinId="8" hidden="1"/>
    <cellStyle name="Гиперссылка" xfId="942" builtinId="8" hidden="1"/>
    <cellStyle name="Гиперссылка" xfId="944" builtinId="8" hidden="1"/>
    <cellStyle name="Гиперссылка" xfId="946" builtinId="8" hidden="1"/>
    <cellStyle name="Гиперссылка" xfId="948" builtinId="8" hidden="1"/>
    <cellStyle name="Гиперссылка" xfId="950" builtinId="8" hidden="1"/>
    <cellStyle name="Гиперссылка" xfId="952" builtinId="8" hidden="1"/>
    <cellStyle name="Гиперссылка" xfId="954" builtinId="8" hidden="1"/>
    <cellStyle name="Гиперссылка" xfId="956" builtinId="8" hidden="1"/>
    <cellStyle name="Гиперссылка" xfId="958" builtinId="8" hidden="1"/>
    <cellStyle name="Гиперссылка" xfId="960" builtinId="8" hidden="1"/>
    <cellStyle name="Гиперссылка" xfId="962" builtinId="8" hidden="1"/>
    <cellStyle name="Гиперссылка" xfId="964" builtinId="8" hidden="1"/>
    <cellStyle name="Гиперссылка" xfId="966" builtinId="8" hidden="1"/>
    <cellStyle name="Гиперссылка" xfId="968" builtinId="8" hidden="1"/>
    <cellStyle name="Гиперссылка" xfId="970" builtinId="8" hidden="1"/>
    <cellStyle name="Гиперссылка" xfId="972" builtinId="8" hidden="1"/>
    <cellStyle name="Гиперссылка" xfId="974" builtinId="8" hidden="1"/>
    <cellStyle name="Гиперссылка" xfId="976" builtinId="8" hidden="1"/>
    <cellStyle name="Гиперссылка" xfId="978" builtinId="8" hidden="1"/>
    <cellStyle name="Гиперссылка" xfId="980" builtinId="8" hidden="1"/>
    <cellStyle name="Гиперссылка" xfId="982" builtinId="8" hidden="1"/>
    <cellStyle name="Гиперссылка" xfId="984" builtinId="8" hidden="1"/>
    <cellStyle name="Гиперссылка" xfId="986" builtinId="8" hidden="1"/>
    <cellStyle name="Гиперссылка" xfId="988" builtinId="8" hidden="1"/>
    <cellStyle name="Гиперссылка" xfId="990" builtinId="8" hidden="1"/>
    <cellStyle name="Гиперссылка" xfId="992" builtinId="8" hidden="1"/>
    <cellStyle name="Гиперссылка" xfId="994" builtinId="8" hidden="1"/>
    <cellStyle name="Гиперссылка" xfId="996" builtinId="8" hidden="1"/>
    <cellStyle name="Гиперссылка" xfId="998" builtinId="8" hidden="1"/>
    <cellStyle name="Гиперссылка" xfId="1000" builtinId="8" hidden="1"/>
    <cellStyle name="Гиперссылка" xfId="1002" builtinId="8" hidden="1"/>
    <cellStyle name="Гиперссылка" xfId="1004" builtinId="8" hidden="1"/>
    <cellStyle name="Гиперссылка" xfId="1006" builtinId="8" hidden="1"/>
    <cellStyle name="Гиперссылка" xfId="1008" builtinId="8" hidden="1"/>
    <cellStyle name="Гиперссылка" xfId="1010" builtinId="8" hidden="1"/>
    <cellStyle name="Гиперссылка" xfId="1012" builtinId="8" hidden="1"/>
    <cellStyle name="Гиперссылка" xfId="1014" builtinId="8" hidden="1"/>
    <cellStyle name="Гиперссылка" xfId="1016" builtinId="8" hidden="1"/>
    <cellStyle name="Гиперссылка" xfId="1018" builtinId="8" hidden="1"/>
    <cellStyle name="Гиперссылка" xfId="1020" builtinId="8" hidden="1"/>
    <cellStyle name="Гиперссылка" xfId="1022" builtinId="8" hidden="1"/>
    <cellStyle name="Гиперссылка" xfId="1024" builtinId="8" hidden="1"/>
    <cellStyle name="Гиперссылка" xfId="1026" builtinId="8" hidden="1"/>
    <cellStyle name="Гиперссылка" xfId="1028" builtinId="8" hidden="1"/>
    <cellStyle name="Гиперссылка" xfId="1030" builtinId="8" hidden="1"/>
    <cellStyle name="Гиперссылка" xfId="1032" builtinId="8" hidden="1"/>
    <cellStyle name="Гиперссылка" xfId="1034" builtinId="8" hidden="1"/>
    <cellStyle name="Гиперссылка" xfId="1036" builtinId="8" hidden="1"/>
    <cellStyle name="Гиперссылка" xfId="1038" builtinId="8" hidden="1"/>
    <cellStyle name="Гиперссылка" xfId="1040" builtinId="8" hidden="1"/>
    <cellStyle name="Гиперссылка" xfId="1042" builtinId="8" hidden="1"/>
    <cellStyle name="Гиперссылка" xfId="1044" builtinId="8" hidden="1"/>
    <cellStyle name="Гиперссылка" xfId="1046" builtinId="8" hidden="1"/>
    <cellStyle name="Гиперссылка" xfId="1048" builtinId="8" hidden="1"/>
    <cellStyle name="Гиперссылка" xfId="1050" builtinId="8" hidden="1"/>
    <cellStyle name="Гиперссылка" xfId="1052" builtinId="8" hidden="1"/>
    <cellStyle name="Гиперссылка" xfId="1054" builtinId="8" hidden="1"/>
    <cellStyle name="Гиперссылка" xfId="1056" builtinId="8" hidden="1"/>
    <cellStyle name="Гиперссылка" xfId="1058" builtinId="8" hidden="1"/>
    <cellStyle name="Гиперссылка" xfId="1060" builtinId="8" hidden="1"/>
    <cellStyle name="Гиперссылка" xfId="1062" builtinId="8" hidden="1"/>
    <cellStyle name="Гиперссылка" xfId="1064" builtinId="8" hidden="1"/>
    <cellStyle name="Гиперссылка" xfId="1066" builtinId="8" hidden="1"/>
    <cellStyle name="Гиперссылка" xfId="1068" builtinId="8" hidden="1"/>
    <cellStyle name="Гиперссылка" xfId="1070" builtinId="8" hidden="1"/>
    <cellStyle name="Гиперссылка" xfId="1072" builtinId="8" hidden="1"/>
    <cellStyle name="Гиперссылка" xfId="1074" builtinId="8" hidden="1"/>
    <cellStyle name="Гиперссылка" xfId="1076" builtinId="8" hidden="1"/>
    <cellStyle name="Гиперссылка" xfId="1078" builtinId="8" hidden="1"/>
    <cellStyle name="Гиперссылка" xfId="1080" builtinId="8" hidden="1"/>
    <cellStyle name="Гиперссылка" xfId="1082" builtinId="8" hidden="1"/>
    <cellStyle name="Гиперссылка" xfId="1084" builtinId="8" hidden="1"/>
    <cellStyle name="Гиперссылка" xfId="1086" builtinId="8" hidden="1"/>
    <cellStyle name="Гиперссылка" xfId="1088" builtinId="8" hidden="1"/>
    <cellStyle name="Гиперссылка" xfId="1090" builtinId="8" hidden="1"/>
    <cellStyle name="Гиперссылка" xfId="1092" builtinId="8" hidden="1"/>
    <cellStyle name="Гиперссылка" xfId="1094" builtinId="8" hidden="1"/>
    <cellStyle name="Гиперссылка" xfId="1096" builtinId="8" hidden="1"/>
    <cellStyle name="Гиперссылка" xfId="1098" builtinId="8" hidden="1"/>
    <cellStyle name="Гиперссылка" xfId="1100" builtinId="8" hidden="1"/>
    <cellStyle name="Гиперссылка" xfId="1102" builtinId="8" hidden="1"/>
    <cellStyle name="Гиперссылка" xfId="1104" builtinId="8" hidden="1"/>
    <cellStyle name="Гиперссылка" xfId="1106" builtinId="8" hidden="1"/>
    <cellStyle name="Гиперссылка" xfId="1108" builtinId="8" hidden="1"/>
    <cellStyle name="Гиперссылка" xfId="1110" builtinId="8" hidden="1"/>
    <cellStyle name="Гиперссылка" xfId="1112" builtinId="8" hidden="1"/>
    <cellStyle name="Гиперссылка" xfId="1114" builtinId="8" hidden="1"/>
    <cellStyle name="Гиперссылка" xfId="1116" builtinId="8" hidden="1"/>
    <cellStyle name="Гиперссылка" xfId="1118" builtinId="8" hidden="1"/>
    <cellStyle name="Гиперссылка" xfId="1120" builtinId="8" hidden="1"/>
    <cellStyle name="Гиперссылка" xfId="1122" builtinId="8" hidden="1"/>
    <cellStyle name="Гиперссылка" xfId="1124" builtinId="8" hidden="1"/>
    <cellStyle name="Гиперссылка" xfId="1126" builtinId="8" hidden="1"/>
    <cellStyle name="Гиперссылка" xfId="1128" builtinId="8" hidden="1"/>
    <cellStyle name="Гиперссылка" xfId="1130" builtinId="8" hidden="1"/>
    <cellStyle name="Гиперссылка" xfId="1132" builtinId="8" hidden="1"/>
    <cellStyle name="Гиперссылка" xfId="1134" builtinId="8" hidden="1"/>
    <cellStyle name="Гиперссылка" xfId="1136" builtinId="8" hidden="1"/>
    <cellStyle name="Гиперссылка" xfId="1138" builtinId="8" hidden="1"/>
    <cellStyle name="Гиперссылка" xfId="1140" builtinId="8" hidden="1"/>
    <cellStyle name="Гиперссылка" xfId="1142" builtinId="8" hidden="1"/>
    <cellStyle name="Гиперссылка" xfId="1144" builtinId="8" hidden="1"/>
    <cellStyle name="Гиперссылка" xfId="1146" builtinId="8" hidden="1"/>
    <cellStyle name="Гиперссылка" xfId="1148" builtinId="8" hidden="1"/>
    <cellStyle name="Гиперссылка" xfId="1150" builtinId="8" hidden="1"/>
    <cellStyle name="Гиперссылка" xfId="1152" builtinId="8" hidden="1"/>
    <cellStyle name="Гиперссылка" xfId="1154" builtinId="8" hidden="1"/>
    <cellStyle name="Гиперссылка" xfId="1156" builtinId="8" hidden="1"/>
    <cellStyle name="Гиперссылка" xfId="1158" builtinId="8" hidden="1"/>
    <cellStyle name="Гиперссылка" xfId="1160" builtinId="8" hidden="1"/>
    <cellStyle name="Гиперссылка" xfId="1162" builtinId="8" hidden="1"/>
    <cellStyle name="Гиперссылка" xfId="1164" builtinId="8" hidden="1"/>
    <cellStyle name="Гиперссылка" xfId="1166" builtinId="8" hidden="1"/>
    <cellStyle name="Гиперссылка" xfId="1168" builtinId="8" hidden="1"/>
    <cellStyle name="Гиперссылка" xfId="1170" builtinId="8" hidden="1"/>
    <cellStyle name="Гиперссылка" xfId="1172" builtinId="8" hidden="1"/>
    <cellStyle name="Гиперссылка" xfId="1174" builtinId="8" hidden="1"/>
    <cellStyle name="Гиперссылка" xfId="1176" builtinId="8" hidden="1"/>
    <cellStyle name="Гиперссылка" xfId="1178" builtinId="8" hidden="1"/>
    <cellStyle name="Гиперссылка" xfId="1180" builtinId="8" hidden="1"/>
    <cellStyle name="Гиперссылка" xfId="1182" builtinId="8" hidden="1"/>
    <cellStyle name="Гиперссылка" xfId="1184" builtinId="8" hidden="1"/>
    <cellStyle name="Гиперссылка" xfId="1186" builtinId="8" hidden="1"/>
    <cellStyle name="Гиперссылка" xfId="1188" builtinId="8" hidden="1"/>
    <cellStyle name="Гиперссылка" xfId="1190" builtinId="8" hidden="1"/>
    <cellStyle name="Гиперссылка" xfId="1192" builtinId="8" hidden="1"/>
    <cellStyle name="Гиперссылка" xfId="1194" builtinId="8" hidden="1"/>
    <cellStyle name="Гиперссылка" xfId="1196" builtinId="8" hidden="1"/>
    <cellStyle name="Гиперссылка" xfId="1198" builtinId="8" hidden="1"/>
    <cellStyle name="Гиперссылка" xfId="1200" builtinId="8" hidden="1"/>
    <cellStyle name="Гиперссылка" xfId="1202" builtinId="8" hidden="1"/>
    <cellStyle name="Гиперссылка" xfId="1204" builtinId="8" hidden="1"/>
    <cellStyle name="Гиперссылка" xfId="1206" builtinId="8" hidden="1"/>
    <cellStyle name="Гиперссылка" xfId="1208" builtinId="8" hidden="1"/>
    <cellStyle name="Гиперссылка" xfId="1210" builtinId="8" hidden="1"/>
    <cellStyle name="Гиперссылка" xfId="1212" builtinId="8" hidden="1"/>
    <cellStyle name="Гиперссылка" xfId="1214" builtinId="8" hidden="1"/>
    <cellStyle name="Гиперссылка" xfId="1216" builtinId="8" hidden="1"/>
    <cellStyle name="Гиперссылка" xfId="1218" builtinId="8" hidden="1"/>
    <cellStyle name="Гиперссылка" xfId="1220" builtinId="8" hidden="1"/>
    <cellStyle name="Гиперссылка" xfId="1222" builtinId="8" hidden="1"/>
    <cellStyle name="Гиперссылка" xfId="1224" builtinId="8" hidden="1"/>
    <cellStyle name="Гиперссылка" xfId="1226" builtinId="8" hidden="1"/>
    <cellStyle name="Гиперссылка" xfId="1228" builtinId="8" hidden="1"/>
    <cellStyle name="Гиперссылка" xfId="1230" builtinId="8" hidden="1"/>
    <cellStyle name="Гиперссылка" xfId="1232" builtinId="8" hidden="1"/>
    <cellStyle name="Гиперссылка" xfId="1234" builtinId="8" hidden="1"/>
    <cellStyle name="Гиперссылка" xfId="1236" builtinId="8" hidden="1"/>
    <cellStyle name="Гиперссылка" xfId="1238" builtinId="8" hidden="1"/>
    <cellStyle name="Гиперссылка" xfId="1240" builtinId="8" hidden="1"/>
    <cellStyle name="Гиперссылка" xfId="1242" builtinId="8" hidden="1"/>
    <cellStyle name="Гиперссылка" xfId="1244" builtinId="8" hidden="1"/>
    <cellStyle name="Гиперссылка" xfId="1246" builtinId="8" hidden="1"/>
    <cellStyle name="Гиперссылка" xfId="1248" builtinId="8" hidden="1"/>
    <cellStyle name="Гиперссылка" xfId="1250" builtinId="8" hidden="1"/>
    <cellStyle name="Гиперссылка" xfId="1252" builtinId="8" hidden="1"/>
    <cellStyle name="Гиперссылка" xfId="1254" builtinId="8" hidden="1"/>
    <cellStyle name="Гиперссылка" xfId="1256" builtinId="8" hidden="1"/>
    <cellStyle name="Гиперссылка" xfId="1258" builtinId="8" hidden="1"/>
    <cellStyle name="Гиперссылка" xfId="1260" builtinId="8" hidden="1"/>
    <cellStyle name="Гиперссылка" xfId="1262" builtinId="8" hidden="1"/>
    <cellStyle name="Гиперссылка" xfId="1264" builtinId="8" hidden="1"/>
    <cellStyle name="Гиперссылка" xfId="1266" builtinId="8" hidden="1"/>
    <cellStyle name="Гиперссылка" xfId="1268" builtinId="8" hidden="1"/>
    <cellStyle name="Гиперссылка" xfId="1270" builtinId="8" hidden="1"/>
    <cellStyle name="Гиперссылка" xfId="1272" builtinId="8" hidden="1"/>
    <cellStyle name="Гиперссылка" xfId="1274" builtinId="8" hidden="1"/>
    <cellStyle name="Гиперссылка" xfId="1276" builtinId="8" hidden="1"/>
    <cellStyle name="Гиперссылка" xfId="1278" builtinId="8" hidden="1"/>
    <cellStyle name="Гиперссылка" xfId="1280" builtinId="8" hidden="1"/>
    <cellStyle name="Гиперссылка" xfId="1282" builtinId="8" hidden="1"/>
    <cellStyle name="Гиперссылка" xfId="1284" builtinId="8" hidden="1"/>
    <cellStyle name="Гиперссылка" xfId="1286" builtinId="8" hidden="1"/>
    <cellStyle name="Гиперссылка" xfId="1288" builtinId="8" hidden="1"/>
    <cellStyle name="Гиперссылка" xfId="1290" builtinId="8" hidden="1"/>
    <cellStyle name="Гиперссылка" xfId="1292" builtinId="8" hidden="1"/>
    <cellStyle name="Гиперссылка" xfId="1294" builtinId="8" hidden="1"/>
    <cellStyle name="Гиперссылка" xfId="1296" builtinId="8" hidden="1"/>
    <cellStyle name="Гиперссылка" xfId="1298" builtinId="8" hidden="1"/>
    <cellStyle name="Гиперссылка" xfId="1300" builtinId="8" hidden="1"/>
    <cellStyle name="Гиперссылка" xfId="1302" builtinId="8" hidden="1"/>
    <cellStyle name="Гиперссылка" xfId="1304" builtinId="8" hidden="1"/>
    <cellStyle name="Гиперссылка" xfId="1306" builtinId="8" hidden="1"/>
    <cellStyle name="Гиперссылка" xfId="1308" builtinId="8" hidden="1"/>
    <cellStyle name="Гиперссылка" xfId="1310" builtinId="8" hidden="1"/>
    <cellStyle name="Гиперссылка" xfId="1312" builtinId="8" hidden="1"/>
    <cellStyle name="Гиперссылка" xfId="1314" builtinId="8" hidden="1"/>
    <cellStyle name="Гиперссылка" xfId="1316" builtinId="8" hidden="1"/>
    <cellStyle name="Гиперссылка" xfId="1318" builtinId="8" hidden="1"/>
    <cellStyle name="Гиперссылка" xfId="1320" builtinId="8" hidden="1"/>
    <cellStyle name="Гиперссылка" xfId="1322" builtinId="8" hidden="1"/>
    <cellStyle name="Гиперссылка" xfId="1324" builtinId="8" hidden="1"/>
    <cellStyle name="Гиперссылка" xfId="1326" builtinId="8" hidden="1"/>
    <cellStyle name="Гиперссылка" xfId="1328" builtinId="8" hidden="1"/>
    <cellStyle name="Гиперссылка" xfId="1330" builtinId="8" hidden="1"/>
    <cellStyle name="Гиперссылка" xfId="1332" builtinId="8" hidden="1"/>
    <cellStyle name="Гиперссылка" xfId="1334" builtinId="8" hidden="1"/>
    <cellStyle name="Гиперссылка" xfId="1336" builtinId="8" hidden="1"/>
    <cellStyle name="Гиперссылка" xfId="1338" builtinId="8" hidden="1"/>
    <cellStyle name="Гиперссылка" xfId="1340" builtinId="8" hidden="1"/>
    <cellStyle name="Гиперссылка" xfId="1342" builtinId="8" hidden="1"/>
    <cellStyle name="Гиперссылка" xfId="1344" builtinId="8" hidden="1"/>
    <cellStyle name="Гиперссылка" xfId="1346" builtinId="8" hidden="1"/>
    <cellStyle name="Гиперссылка" xfId="1348" builtinId="8" hidden="1"/>
    <cellStyle name="Гиперссылка" xfId="1350" builtinId="8" hidden="1"/>
    <cellStyle name="Гиперссылка" xfId="1352" builtinId="8" hidden="1"/>
    <cellStyle name="Гиперссылка" xfId="1354" builtinId="8" hidden="1"/>
    <cellStyle name="Гиперссылка" xfId="1356" builtinId="8" hidden="1"/>
    <cellStyle name="Гиперссылка" xfId="1358" builtinId="8" hidden="1"/>
    <cellStyle name="Гиперссылка" xfId="1360" builtinId="8" hidden="1"/>
    <cellStyle name="Гиперссылка" xfId="1362" builtinId="8" hidden="1"/>
    <cellStyle name="Гиперссылка" xfId="1364" builtinId="8" hidden="1"/>
    <cellStyle name="Гиперссылка" xfId="1366" builtinId="8" hidden="1"/>
    <cellStyle name="Гиперссылка" xfId="1368" builtinId="8" hidden="1"/>
    <cellStyle name="Гиперссылка" xfId="1370" builtinId="8" hidden="1"/>
    <cellStyle name="Гиперссылка" xfId="1372" builtinId="8" hidden="1"/>
    <cellStyle name="Гиперссылка" xfId="1374" builtinId="8" hidden="1"/>
    <cellStyle name="Гиперссылка" xfId="1376" builtinId="8" hidden="1"/>
    <cellStyle name="Гиперссылка" xfId="1378" builtinId="8" hidden="1"/>
    <cellStyle name="Гиперссылка" xfId="1380" builtinId="8" hidden="1"/>
    <cellStyle name="Гиперссылка" xfId="1382" builtinId="8" hidden="1"/>
    <cellStyle name="Гиперссылка" xfId="1384" builtinId="8" hidden="1"/>
    <cellStyle name="Гиперссылка" xfId="1386" builtinId="8" hidden="1"/>
    <cellStyle name="Гиперссылка" xfId="1388" builtinId="8" hidden="1"/>
    <cellStyle name="Гиперссылка" xfId="1390" builtinId="8" hidden="1"/>
    <cellStyle name="Гиперссылка" xfId="1392" builtinId="8" hidden="1"/>
    <cellStyle name="Гиперссылка" xfId="1394" builtinId="8" hidden="1"/>
    <cellStyle name="Гиперссылка" xfId="1396" builtinId="8" hidden="1"/>
    <cellStyle name="Гиперссылка" xfId="1398" builtinId="8" hidden="1"/>
    <cellStyle name="Гиперссылка" xfId="1400" builtinId="8" hidden="1"/>
    <cellStyle name="Гиперссылка" xfId="1402" builtinId="8" hidden="1"/>
    <cellStyle name="Гиперссылка" xfId="1404" builtinId="8" hidden="1"/>
    <cellStyle name="Гиперссылка" xfId="1406" builtinId="8" hidden="1"/>
    <cellStyle name="Гиперссылка" xfId="1408" builtinId="8" hidden="1"/>
    <cellStyle name="Гиперссылка" xfId="1410" builtinId="8" hidden="1"/>
    <cellStyle name="Гиперссылка" xfId="1412" builtinId="8" hidden="1"/>
    <cellStyle name="Гиперссылка" xfId="1414" builtinId="8" hidden="1"/>
    <cellStyle name="Гиперссылка" xfId="1416" builtinId="8" hidden="1"/>
    <cellStyle name="Гиперссылка" xfId="1418" builtinId="8" hidden="1"/>
    <cellStyle name="Гиперссылка" xfId="1420" builtinId="8" hidden="1"/>
    <cellStyle name="Гиперссылка" xfId="1422" builtinId="8" hidden="1"/>
    <cellStyle name="Гиперссылка" xfId="1424" builtinId="8" hidden="1"/>
    <cellStyle name="Гиперссылка" xfId="1426" builtinId="8" hidden="1"/>
    <cellStyle name="Гиперссылка" xfId="1428" builtinId="8" hidden="1"/>
    <cellStyle name="Гиперссылка" xfId="1430" builtinId="8" hidden="1"/>
    <cellStyle name="Гиперссылка" xfId="1432" builtinId="8" hidden="1"/>
    <cellStyle name="Гиперссылка" xfId="1434" builtinId="8" hidden="1"/>
    <cellStyle name="Гиперссылка" xfId="1436" builtinId="8" hidden="1"/>
    <cellStyle name="Гиперссылка" xfId="1438" builtinId="8" hidden="1"/>
    <cellStyle name="Гиперссылка" xfId="1440" builtinId="8" hidden="1"/>
    <cellStyle name="Гиперссылка" xfId="1442" builtinId="8" hidden="1"/>
    <cellStyle name="Гиперссылка" xfId="1444" builtinId="8" hidden="1"/>
    <cellStyle name="Гиперссылка" xfId="1446" builtinId="8" hidden="1"/>
    <cellStyle name="Гиперссылка" xfId="1448" builtinId="8" hidden="1"/>
    <cellStyle name="Гиперссылка" xfId="1450" builtinId="8" hidden="1"/>
    <cellStyle name="Гиперссылка" xfId="1452" builtinId="8" hidden="1"/>
    <cellStyle name="Гиперссылка" xfId="1454" builtinId="8" hidden="1"/>
    <cellStyle name="Гиперссылка" xfId="1456" builtinId="8" hidden="1"/>
    <cellStyle name="Гиперссылка" xfId="1458" builtinId="8" hidden="1"/>
    <cellStyle name="Гиперссылка" xfId="1460" builtinId="8" hidden="1"/>
    <cellStyle name="Гиперссылка" xfId="1462" builtinId="8" hidden="1"/>
    <cellStyle name="Гиперссылка" xfId="1464" builtinId="8" hidden="1"/>
    <cellStyle name="Гиперссылка" xfId="1466" builtinId="8" hidden="1"/>
    <cellStyle name="Гиперссылка" xfId="1469" builtinId="8" hidden="1"/>
    <cellStyle name="Гиперссылка" xfId="1471" builtinId="8" hidden="1"/>
    <cellStyle name="Гиперссылка" xfId="1473" builtinId="8" hidden="1"/>
    <cellStyle name="Гиперссылка" xfId="1475" builtinId="8" hidden="1"/>
    <cellStyle name="Гиперссылка" xfId="1477" builtinId="8" hidden="1"/>
    <cellStyle name="Гиперссылка" xfId="1479" builtinId="8" hidden="1"/>
    <cellStyle name="Гиперссылка" xfId="1481" builtinId="8" hidden="1"/>
    <cellStyle name="Гиперссылка" xfId="1483" builtinId="8" hidden="1"/>
    <cellStyle name="Гиперссылка" xfId="1485" builtinId="8" hidden="1"/>
    <cellStyle name="Гиперссылка" xfId="1487" builtinId="8" hidden="1"/>
    <cellStyle name="Гиперссылка" xfId="1489" builtinId="8" hidden="1"/>
    <cellStyle name="Гиперссылка" xfId="1491" builtinId="8" hidden="1"/>
    <cellStyle name="Гиперссылка" xfId="1493" builtinId="8" hidden="1"/>
    <cellStyle name="Гиперссылка" xfId="1495" builtinId="8" hidden="1"/>
    <cellStyle name="Гиперссылка" xfId="1497" builtinId="8" hidden="1"/>
    <cellStyle name="Гиперссылка" xfId="1499" builtinId="8" hidden="1"/>
    <cellStyle name="Гиперссылка" xfId="1501" builtinId="8" hidden="1"/>
    <cellStyle name="Гиперссылка" xfId="1503" builtinId="8" hidden="1"/>
    <cellStyle name="Гиперссылка" xfId="1505" builtinId="8" hidden="1"/>
    <cellStyle name="Гиперссылка" xfId="1507" builtinId="8" hidden="1"/>
    <cellStyle name="Гиперссылка" xfId="1509" builtinId="8" hidden="1"/>
    <cellStyle name="Гиперссылка" xfId="1511" builtinId="8" hidden="1"/>
    <cellStyle name="Гиперссылка" xfId="1513" builtinId="8" hidden="1"/>
    <cellStyle name="Гиперссылка" xfId="1515" builtinId="8" hidden="1"/>
    <cellStyle name="Гиперссылка" xfId="1517" builtinId="8" hidden="1"/>
    <cellStyle name="Гиперссылка" xfId="1519" builtinId="8" hidden="1"/>
    <cellStyle name="Гиперссылка" xfId="1521" builtinId="8" hidden="1"/>
    <cellStyle name="Гиперссылка" xfId="1523" builtinId="8" hidden="1"/>
    <cellStyle name="Гиперссылка" xfId="1525" builtinId="8" hidden="1"/>
    <cellStyle name="Гиперссылка" xfId="1527" builtinId="8" hidden="1"/>
    <cellStyle name="Гиперссылка" xfId="1529" builtinId="8" hidden="1"/>
    <cellStyle name="Гиперссылка" xfId="1531" builtinId="8" hidden="1"/>
    <cellStyle name="Гиперссылка" xfId="1533" builtinId="8" hidden="1"/>
    <cellStyle name="Гиперссылка" xfId="1535" builtinId="8" hidden="1"/>
    <cellStyle name="Гиперссылка" xfId="1537" builtinId="8" hidden="1"/>
    <cellStyle name="Гиперссылка" xfId="1539" builtinId="8" hidden="1"/>
    <cellStyle name="Гиперссылка" xfId="1541" builtinId="8" hidden="1"/>
    <cellStyle name="Гиперссылка" xfId="1543" builtinId="8" hidden="1"/>
    <cellStyle name="Гиперссылка" xfId="1545" builtinId="8" hidden="1"/>
    <cellStyle name="Гиперссылка" xfId="1547" builtinId="8" hidden="1"/>
    <cellStyle name="Гиперссылка" xfId="1549" builtinId="8" hidden="1"/>
    <cellStyle name="Гиперссылка" xfId="1551" builtinId="8" hidden="1"/>
    <cellStyle name="Гиперссылка" xfId="1553" builtinId="8" hidden="1"/>
    <cellStyle name="Гиперссылка" xfId="1555" builtinId="8" hidden="1"/>
    <cellStyle name="Гиперссылка" xfId="1557" builtinId="8" hidden="1"/>
    <cellStyle name="Гиперссылка" xfId="1559" builtinId="8" hidden="1"/>
    <cellStyle name="Гиперссылка" xfId="1561" builtinId="8" hidden="1"/>
    <cellStyle name="Гиперссылка" xfId="1563" builtinId="8" hidden="1"/>
    <cellStyle name="Гиперссылка" xfId="1565" builtinId="8" hidden="1"/>
    <cellStyle name="Гиперссылка" xfId="1567" builtinId="8" hidden="1"/>
    <cellStyle name="Гиперссылка" xfId="1569" builtinId="8" hidden="1"/>
    <cellStyle name="Гиперссылка" xfId="1571" builtinId="8" hidden="1"/>
    <cellStyle name="Гиперссылка" xfId="1573" builtinId="8" hidden="1"/>
    <cellStyle name="Гиперссылка" xfId="1575" builtinId="8" hidden="1"/>
    <cellStyle name="Гиперссылка" xfId="1577" builtinId="8" hidden="1"/>
    <cellStyle name="Гиперссылка" xfId="1579" builtinId="8" hidden="1"/>
    <cellStyle name="Гиперссылка" xfId="1581" builtinId="8" hidden="1"/>
    <cellStyle name="Гиперссылка" xfId="1583" builtinId="8" hidden="1"/>
    <cellStyle name="Гиперссылка" xfId="1585" builtinId="8" hidden="1"/>
    <cellStyle name="Гиперссылка" xfId="1587" builtinId="8" hidden="1"/>
    <cellStyle name="Гиперссылка" xfId="1589" builtinId="8" hidden="1"/>
    <cellStyle name="Гиперссылка" xfId="1591" builtinId="8" hidden="1"/>
    <cellStyle name="Гиперссылка" xfId="1593" builtinId="8" hidden="1"/>
    <cellStyle name="Гиперссылка" xfId="1595" builtinId="8" hidden="1"/>
    <cellStyle name="Гиперссылка" xfId="1597" builtinId="8" hidden="1"/>
    <cellStyle name="Гиперссылка" xfId="1599" builtinId="8" hidden="1"/>
    <cellStyle name="Гиперссылка" xfId="1601" builtinId="8" hidden="1"/>
    <cellStyle name="Гиперссылка" xfId="1603" builtinId="8" hidden="1"/>
    <cellStyle name="Гиперссылка" xfId="1605" builtinId="8" hidden="1"/>
    <cellStyle name="Гиперссылка" xfId="1607" builtinId="8" hidden="1"/>
    <cellStyle name="Гиперссылка" xfId="1609" builtinId="8" hidden="1"/>
    <cellStyle name="Гиперссылка" xfId="1611" builtinId="8" hidden="1"/>
    <cellStyle name="Гиперссылка" xfId="1613" builtinId="8" hidden="1"/>
    <cellStyle name="Гиперссылка" xfId="1615" builtinId="8" hidden="1"/>
    <cellStyle name="Гиперссылка" xfId="1617" builtinId="8" hidden="1"/>
    <cellStyle name="Гиперссылка" xfId="1619" builtinId="8" hidden="1"/>
    <cellStyle name="Гиперссылка" xfId="1621" builtinId="8" hidden="1"/>
    <cellStyle name="Гиперссылка" xfId="1623" builtinId="8" hidden="1"/>
    <cellStyle name="Гиперссылка" xfId="1625" builtinId="8" hidden="1"/>
    <cellStyle name="Гиперссылка" xfId="1627" builtinId="8" hidden="1"/>
    <cellStyle name="Гиперссылка" xfId="1629" builtinId="8" hidden="1"/>
    <cellStyle name="Гиперссылка" xfId="1631" builtinId="8" hidden="1"/>
    <cellStyle name="Гиперссылка" xfId="1633" builtinId="8" hidden="1"/>
    <cellStyle name="Гиперссылка" xfId="1635" builtinId="8" hidden="1"/>
    <cellStyle name="Гиперссылка" xfId="1637" builtinId="8" hidden="1"/>
    <cellStyle name="Гиперссылка" xfId="1639" builtinId="8" hidden="1"/>
    <cellStyle name="Гиперссылка" xfId="1641" builtinId="8" hidden="1"/>
    <cellStyle name="Гиперссылка" xfId="1643" builtinId="8" hidden="1"/>
    <cellStyle name="Гиперссылка" xfId="1645" builtinId="8" hidden="1"/>
    <cellStyle name="Гиперссылка" xfId="1647" builtinId="8" hidden="1"/>
    <cellStyle name="Гиперссылка" xfId="1649" builtinId="8" hidden="1"/>
    <cellStyle name="Гиперссылка" xfId="1651" builtinId="8" hidden="1"/>
    <cellStyle name="Гиперссылка" xfId="1653" builtinId="8" hidden="1"/>
    <cellStyle name="Гиперссылка" xfId="1655" builtinId="8" hidden="1"/>
    <cellStyle name="Гиперссылка" xfId="1657" builtinId="8" hidden="1"/>
    <cellStyle name="Гиперссылка" xfId="1659" builtinId="8" hidden="1"/>
    <cellStyle name="Гиперссылка" xfId="1661" builtinId="8" hidden="1"/>
    <cellStyle name="Гиперссылка" xfId="1663" builtinId="8" hidden="1"/>
    <cellStyle name="Гиперссылка" xfId="1665" builtinId="8" hidden="1"/>
    <cellStyle name="Гиперссылка" xfId="1667" builtinId="8" hidden="1"/>
    <cellStyle name="Гиперссылка" xfId="1669" builtinId="8" hidden="1"/>
    <cellStyle name="Гиперссылка" xfId="1671" builtinId="8" hidden="1"/>
    <cellStyle name="Гиперссылка" xfId="1673" builtinId="8" hidden="1"/>
    <cellStyle name="Гиперссылка" xfId="1675" builtinId="8" hidden="1"/>
    <cellStyle name="Гиперссылка" xfId="1677" builtinId="8" hidden="1"/>
    <cellStyle name="Гиперссылка" xfId="1679" builtinId="8" hidden="1"/>
    <cellStyle name="Гиперссылка" xfId="1681" builtinId="8" hidden="1"/>
    <cellStyle name="Гиперссылка" xfId="1683" builtinId="8" hidden="1"/>
    <cellStyle name="Гиперссылка" xfId="1685" builtinId="8" hidden="1"/>
    <cellStyle name="Гиперссылка" xfId="1687" builtinId="8" hidden="1"/>
    <cellStyle name="Гиперссылка" xfId="1689" builtinId="8" hidden="1"/>
    <cellStyle name="Гиперссылка" xfId="1691" builtinId="8" hidden="1"/>
    <cellStyle name="Гиперссылка" xfId="1693" builtinId="8" hidden="1"/>
    <cellStyle name="Гиперссылка" xfId="1695" builtinId="8" hidden="1"/>
    <cellStyle name="Гиперссылка" xfId="1697" builtinId="8" hidden="1"/>
    <cellStyle name="Гиперссылка" xfId="1699" builtinId="8" hidden="1"/>
    <cellStyle name="Гиперссылка" xfId="1701" builtinId="8" hidden="1"/>
    <cellStyle name="Гиперссылка" xfId="1703" builtinId="8" hidden="1"/>
    <cellStyle name="Гиперссылка" xfId="1705" builtinId="8" hidden="1"/>
    <cellStyle name="Гиперссылка" xfId="1707" builtinId="8" hidden="1"/>
    <cellStyle name="Гиперссылка" xfId="1709" builtinId="8" hidden="1"/>
    <cellStyle name="Гиперссылка" xfId="1711" builtinId="8" hidden="1"/>
    <cellStyle name="Гиперссылка" xfId="1713" builtinId="8" hidden="1"/>
    <cellStyle name="Гиперссылка" xfId="1715" builtinId="8" hidden="1"/>
    <cellStyle name="Гиперссылка" xfId="1717" builtinId="8" hidden="1"/>
    <cellStyle name="Гиперссылка" xfId="1719" builtinId="8" hidden="1"/>
    <cellStyle name="Гиперссылка" xfId="1721" builtinId="8" hidden="1"/>
    <cellStyle name="Гиперссылка" xfId="1723" builtinId="8" hidden="1"/>
    <cellStyle name="Гиперссылка" xfId="1725" builtinId="8" hidden="1"/>
    <cellStyle name="Гиперссылка" xfId="1727" builtinId="8" hidden="1"/>
    <cellStyle name="Гиперссылка" xfId="1729" builtinId="8" hidden="1"/>
    <cellStyle name="Гиперссылка" xfId="1731" builtinId="8" hidden="1"/>
    <cellStyle name="Гиперссылка" xfId="1733" builtinId="8" hidden="1"/>
    <cellStyle name="Гиперссылка" xfId="1735" builtinId="8" hidden="1"/>
    <cellStyle name="Гиперссылка" xfId="1737" builtinId="8" hidden="1"/>
    <cellStyle name="Гиперссылка" xfId="1739" builtinId="8" hidden="1"/>
    <cellStyle name="Гиперссылка" xfId="1741" builtinId="8" hidden="1"/>
    <cellStyle name="Гиперссылка" xfId="1743" builtinId="8" hidden="1"/>
    <cellStyle name="Гиперссылка" xfId="1745" builtinId="8" hidden="1"/>
    <cellStyle name="Гиперссылка" xfId="1747" builtinId="8" hidden="1"/>
    <cellStyle name="Гиперссылка" xfId="1749" builtinId="8" hidden="1"/>
    <cellStyle name="Гиперссылка" xfId="1751" builtinId="8" hidden="1"/>
    <cellStyle name="Гиперссылка" xfId="1753" builtinId="8" hidden="1"/>
    <cellStyle name="Гиперссылка" xfId="1755" builtinId="8" hidden="1"/>
    <cellStyle name="Гиперссылка" xfId="1757" builtinId="8" hidden="1"/>
    <cellStyle name="Гиперссылка" xfId="1759" builtinId="8" hidden="1"/>
    <cellStyle name="Гиперссылка" xfId="1761" builtinId="8" hidden="1"/>
    <cellStyle name="Гиперссылка" xfId="1763" builtinId="8" hidden="1"/>
    <cellStyle name="Гиперссылка" xfId="1765" builtinId="8" hidden="1"/>
    <cellStyle name="Гиперссылка" xfId="1767" builtinId="8" hidden="1"/>
    <cellStyle name="Гиперссылка" xfId="1769" builtinId="8" hidden="1"/>
    <cellStyle name="Гиперссылка" xfId="1771" builtinId="8" hidden="1"/>
    <cellStyle name="Гиперссылка" xfId="1773" builtinId="8" hidden="1"/>
    <cellStyle name="Гиперссылка" xfId="1775" builtinId="8" hidden="1"/>
    <cellStyle name="Гиперссылка" xfId="1777" builtinId="8" hidden="1"/>
    <cellStyle name="Гиперссылка" xfId="1779" builtinId="8" hidden="1"/>
    <cellStyle name="Гиперссылка" xfId="1781" builtinId="8" hidden="1"/>
    <cellStyle name="Гиперссылка" xfId="1783" builtinId="8" hidden="1"/>
    <cellStyle name="Гиперссылка" xfId="1785" builtinId="8" hidden="1"/>
    <cellStyle name="Гиперссылка" xfId="1787" builtinId="8" hidden="1"/>
    <cellStyle name="Гиперссылка" xfId="1789" builtinId="8" hidden="1"/>
    <cellStyle name="Гиперссылка" xfId="1791" builtinId="8" hidden="1"/>
    <cellStyle name="Гиперссылка" xfId="1793" builtinId="8" hidden="1"/>
    <cellStyle name="Гиперссылка" xfId="1795" builtinId="8" hidden="1"/>
    <cellStyle name="Гиперссылка" xfId="1797" builtinId="8" hidden="1"/>
    <cellStyle name="Гиперссылка" xfId="1799" builtinId="8" hidden="1"/>
    <cellStyle name="Гиперссылка" xfId="1801" builtinId="8" hidden="1"/>
    <cellStyle name="Гиперссылка" xfId="1803" builtinId="8" hidden="1"/>
    <cellStyle name="Гиперссылка" xfId="1805" builtinId="8" hidden="1"/>
    <cellStyle name="Гиперссылка" xfId="1807" builtinId="8" hidden="1"/>
    <cellStyle name="Гиперссылка" xfId="1809" builtinId="8" hidden="1"/>
    <cellStyle name="Гиперссылка" xfId="1811" builtinId="8" hidden="1"/>
    <cellStyle name="Гиперссылка" xfId="1813" builtinId="8" hidden="1"/>
    <cellStyle name="Гиперссылка" xfId="1815" builtinId="8" hidden="1"/>
    <cellStyle name="Гиперссылка" xfId="1817" builtinId="8" hidden="1"/>
    <cellStyle name="Гиперссылка" xfId="1819" builtinId="8" hidden="1"/>
    <cellStyle name="Гиперссылка" xfId="1821" builtinId="8" hidden="1"/>
    <cellStyle name="Гиперссылка" xfId="1823" builtinId="8" hidden="1"/>
    <cellStyle name="Гиперссылка" xfId="1825" builtinId="8" hidden="1"/>
    <cellStyle name="Гиперссылка" xfId="1827" builtinId="8" hidden="1"/>
    <cellStyle name="Гиперссылка" xfId="1829" builtinId="8" hidden="1"/>
    <cellStyle name="Гиперссылка" xfId="1831" builtinId="8" hidden="1"/>
    <cellStyle name="Гиперссылка" xfId="1833" builtinId="8" hidden="1"/>
    <cellStyle name="Гиперссылка" xfId="1835" builtinId="8" hidden="1"/>
    <cellStyle name="Гиперссылка" xfId="1837" builtinId="8" hidden="1"/>
    <cellStyle name="Гиперссылка" xfId="1839" builtinId="8" hidden="1"/>
    <cellStyle name="Гиперссылка" xfId="1841" builtinId="8" hidden="1"/>
    <cellStyle name="Гиперссылка" xfId="1843" builtinId="8" hidden="1"/>
    <cellStyle name="Гиперссылка" xfId="1845" builtinId="8" hidden="1"/>
    <cellStyle name="Гиперссылка" xfId="1847" builtinId="8" hidden="1"/>
    <cellStyle name="Гиперссылка" xfId="1849" builtinId="8" hidden="1"/>
    <cellStyle name="Гиперссылка" xfId="1851" builtinId="8" hidden="1"/>
    <cellStyle name="Гиперссылка" xfId="1853" builtinId="8" hidden="1"/>
    <cellStyle name="Гиперссылка" xfId="1855" builtinId="8" hidden="1"/>
    <cellStyle name="Гиперссылка" xfId="1857" builtinId="8" hidden="1"/>
    <cellStyle name="Гиперссылка" xfId="1859" builtinId="8" hidden="1"/>
    <cellStyle name="Гиперссылка" xfId="1861" builtinId="8" hidden="1"/>
    <cellStyle name="Гиперссылка" xfId="1863" builtinId="8" hidden="1"/>
    <cellStyle name="Гиперссылка" xfId="1865" builtinId="8" hidden="1"/>
    <cellStyle name="Гиперссылка" xfId="1867" builtinId="8" hidden="1"/>
    <cellStyle name="Гиперссылка" xfId="1869" builtinId="8" hidden="1"/>
    <cellStyle name="Гиперссылка" xfId="1871" builtinId="8" hidden="1"/>
    <cellStyle name="Гиперссылка" xfId="1873" builtinId="8" hidden="1"/>
    <cellStyle name="Гиперссылка" xfId="1875" builtinId="8" hidden="1"/>
    <cellStyle name="Гиперссылка" xfId="1877" builtinId="8" hidden="1"/>
    <cellStyle name="Гиперссылка" xfId="1879" builtinId="8" hidden="1"/>
    <cellStyle name="Гиперссылка" xfId="1881" builtinId="8" hidden="1"/>
    <cellStyle name="Гиперссылка" xfId="1883" builtinId="8" hidden="1"/>
    <cellStyle name="Гиперссылка" xfId="1885" builtinId="8" hidden="1"/>
    <cellStyle name="Гиперссылка" xfId="1887" builtinId="8" hidden="1"/>
    <cellStyle name="Гиперссылка" xfId="1889" builtinId="8" hidden="1"/>
    <cellStyle name="Гиперссылка" xfId="1891" builtinId="8" hidden="1"/>
    <cellStyle name="Гиперссылка" xfId="1893" builtinId="8" hidden="1"/>
    <cellStyle name="Гиперссылка" xfId="1895" builtinId="8" hidden="1"/>
    <cellStyle name="Гиперссылка" xfId="1897" builtinId="8" hidden="1"/>
    <cellStyle name="Гиперссылка" xfId="1899" builtinId="8" hidden="1"/>
    <cellStyle name="Гиперссылка" xfId="1901" builtinId="8" hidden="1"/>
    <cellStyle name="Гиперссылка" xfId="1903" builtinId="8" hidden="1"/>
    <cellStyle name="Гиперссылка" xfId="1905" builtinId="8" hidden="1"/>
    <cellStyle name="Гиперссылка" xfId="1907" builtinId="8" hidden="1"/>
    <cellStyle name="Гиперссылка" xfId="1909" builtinId="8" hidden="1"/>
    <cellStyle name="Гиперссылка" xfId="1911" builtinId="8" hidden="1"/>
    <cellStyle name="Гиперссылка" xfId="1913" builtinId="8" hidden="1"/>
    <cellStyle name="Гиперссылка" xfId="1915" builtinId="8" hidden="1"/>
    <cellStyle name="Гиперссылка" xfId="1917" builtinId="8" hidden="1"/>
    <cellStyle name="Гиперссылка" xfId="1919" builtinId="8" hidden="1"/>
    <cellStyle name="Гиперссылка" xfId="1921" builtinId="8" hidden="1"/>
    <cellStyle name="Гиперссылка" xfId="1923" builtinId="8" hidden="1"/>
    <cellStyle name="Гиперссылка" xfId="1925" builtinId="8" hidden="1"/>
    <cellStyle name="Гиперссылка" xfId="1927" builtinId="8" hidden="1"/>
    <cellStyle name="Гиперссылка" xfId="1929" builtinId="8" hidden="1"/>
    <cellStyle name="Гиперссылка" xfId="1931" builtinId="8" hidden="1"/>
    <cellStyle name="Гиперссылка" xfId="1933" builtinId="8" hidden="1"/>
    <cellStyle name="Гиперссылка" xfId="1935" builtinId="8" hidden="1"/>
    <cellStyle name="Гиперссылка" xfId="1937" builtinId="8" hidden="1"/>
    <cellStyle name="Гиперссылка" xfId="1939" builtinId="8" hidden="1"/>
    <cellStyle name="Гиперссылка" xfId="1941" builtinId="8" hidden="1"/>
    <cellStyle name="Гиперссылка" xfId="1943" builtinId="8" hidden="1"/>
    <cellStyle name="Гиперссылка" xfId="1945" builtinId="8" hidden="1"/>
    <cellStyle name="Гиперссылка" xfId="1947" builtinId="8" hidden="1"/>
    <cellStyle name="Гиперссылка" xfId="1949" builtinId="8" hidden="1"/>
    <cellStyle name="Гиперссылка" xfId="1951" builtinId="8" hidden="1"/>
    <cellStyle name="Гиперссылка" xfId="1953" builtinId="8" hidden="1"/>
    <cellStyle name="Гиперссылка" xfId="1955" builtinId="8" hidden="1"/>
    <cellStyle name="Гиперссылка" xfId="1957" builtinId="8" hidden="1"/>
    <cellStyle name="Гиперссылка" xfId="1959" builtinId="8" hidden="1"/>
    <cellStyle name="Гиперссылка" xfId="1961" builtinId="8" hidden="1"/>
    <cellStyle name="Гиперссылка" xfId="1963" builtinId="8" hidden="1"/>
    <cellStyle name="Гиперссылка" xfId="1965" builtinId="8" hidden="1"/>
    <cellStyle name="Гиперссылка" xfId="1967" builtinId="8" hidden="1"/>
    <cellStyle name="Гиперссылка" xfId="1969" builtinId="8" hidden="1"/>
    <cellStyle name="Гиперссылка" xfId="1971" builtinId="8" hidden="1"/>
    <cellStyle name="Гиперссылка" xfId="1973" builtinId="8" hidden="1"/>
    <cellStyle name="Гиперссылка" xfId="1975" builtinId="8" hidden="1"/>
    <cellStyle name="Гиперссылка" xfId="1977" builtinId="8" hidden="1"/>
    <cellStyle name="Гиперссылка" xfId="1979" builtinId="8" hidden="1"/>
    <cellStyle name="Гиперссылка" xfId="1981" builtinId="8" hidden="1"/>
    <cellStyle name="Гиперссылка" xfId="1983" builtinId="8" hidden="1"/>
    <cellStyle name="Гиперссылка" xfId="1985" builtinId="8" hidden="1"/>
    <cellStyle name="Гиперссылка" xfId="1987" builtinId="8" hidden="1"/>
    <cellStyle name="Гиперссылка" xfId="1989" builtinId="8" hidden="1"/>
    <cellStyle name="Гиперссылка" xfId="1991" builtinId="8" hidden="1"/>
    <cellStyle name="Гиперссылка" xfId="1993" builtinId="8" hidden="1"/>
    <cellStyle name="Гиперссылка" xfId="1995" builtinId="8" hidden="1"/>
    <cellStyle name="Гиперссылка" xfId="1997" builtinId="8" hidden="1"/>
    <cellStyle name="Гиперссылка" xfId="1999" builtinId="8" hidden="1"/>
    <cellStyle name="Гиперссылка" xfId="2001" builtinId="8" hidden="1"/>
    <cellStyle name="Гиперссылка" xfId="2003" builtinId="8" hidden="1"/>
    <cellStyle name="Гиперссылка" xfId="2005" builtinId="8" hidden="1"/>
    <cellStyle name="Гиперссылка" xfId="2007" builtinId="8" hidden="1"/>
    <cellStyle name="Гиперссылка" xfId="2009" builtinId="8" hidden="1"/>
    <cellStyle name="Гиперссылка" xfId="2011" builtinId="8" hidden="1"/>
    <cellStyle name="Гиперссылка" xfId="2013" builtinId="8" hidden="1"/>
    <cellStyle name="Гиперссылка" xfId="2015" builtinId="8" hidden="1"/>
    <cellStyle name="Гиперссылка" xfId="2017" builtinId="8" hidden="1"/>
    <cellStyle name="Гиперссылка" xfId="2019" builtinId="8" hidden="1"/>
    <cellStyle name="Гиперссылка" xfId="2021" builtinId="8" hidden="1"/>
    <cellStyle name="Гиперссылка" xfId="2023" builtinId="8" hidden="1"/>
    <cellStyle name="Гиперссылка" xfId="2025" builtinId="8" hidden="1"/>
    <cellStyle name="Гиперссылка" xfId="2027" builtinId="8" hidden="1"/>
    <cellStyle name="Гиперссылка" xfId="2029" builtinId="8" hidden="1"/>
    <cellStyle name="Гиперссылка" xfId="2031" builtinId="8" hidden="1"/>
    <cellStyle name="Гиперссылка" xfId="2033" builtinId="8" hidden="1"/>
    <cellStyle name="Гиперссылка" xfId="2035" builtinId="8" hidden="1"/>
    <cellStyle name="Гиперссылка" xfId="2037" builtinId="8" hidden="1"/>
    <cellStyle name="Гиперссылка" xfId="2039" builtinId="8" hidden="1"/>
    <cellStyle name="Гиперссылка" xfId="2041" builtinId="8" hidden="1"/>
    <cellStyle name="Гиперссылка" xfId="2043" builtinId="8" hidden="1"/>
    <cellStyle name="Гиперссылка" xfId="2045" builtinId="8" hidden="1"/>
    <cellStyle name="Гиперссылка" xfId="2047" builtinId="8" hidden="1"/>
    <cellStyle name="Гиперссылка" xfId="2049" builtinId="8" hidden="1"/>
    <cellStyle name="Гиперссылка" xfId="2051" builtinId="8" hidden="1"/>
    <cellStyle name="Гиперссылка" xfId="2053" builtinId="8" hidden="1"/>
    <cellStyle name="Гиперссылка" xfId="2055" builtinId="8" hidden="1"/>
    <cellStyle name="Гиперссылка" xfId="2057" builtinId="8" hidden="1"/>
    <cellStyle name="Гиперссылка" xfId="2059" builtinId="8" hidden="1"/>
    <cellStyle name="Гиперссылка" xfId="2061" builtinId="8" hidden="1"/>
    <cellStyle name="Гиперссылка" xfId="2063" builtinId="8" hidden="1"/>
    <cellStyle name="Гиперссылка" xfId="2065" builtinId="8" hidden="1"/>
    <cellStyle name="Гиперссылка" xfId="2067" builtinId="8" hidden="1"/>
    <cellStyle name="Гиперссылка" xfId="2069" builtinId="8" hidden="1"/>
    <cellStyle name="Гиперссылка" xfId="2071" builtinId="8" hidden="1"/>
    <cellStyle name="Гиперссылка" xfId="2073" builtinId="8" hidden="1"/>
    <cellStyle name="Гиперссылка" xfId="2075" builtinId="8" hidden="1"/>
    <cellStyle name="Гиперссылка" xfId="2077" builtinId="8" hidden="1"/>
    <cellStyle name="Гиперссылка" xfId="2079" builtinId="8" hidden="1"/>
    <cellStyle name="Гиперссылка" xfId="2081" builtinId="8" hidden="1"/>
    <cellStyle name="Гиперссылка" xfId="2083" builtinId="8" hidden="1"/>
    <cellStyle name="Гиперссылка" xfId="2085" builtinId="8" hidden="1"/>
    <cellStyle name="Гиперссылка" xfId="2087" builtinId="8" hidden="1"/>
    <cellStyle name="Гиперссылка" xfId="2089" builtinId="8" hidden="1"/>
    <cellStyle name="Гиперссылка" xfId="2091" builtinId="8" hidden="1"/>
    <cellStyle name="Гиперссылка" xfId="2093" builtinId="8" hidden="1"/>
    <cellStyle name="Гиперссылка" xfId="2095" builtinId="8" hidden="1"/>
    <cellStyle name="Гиперссылка" xfId="2097" builtinId="8" hidden="1"/>
    <cellStyle name="Гиперссылка" xfId="2099" builtinId="8" hidden="1"/>
    <cellStyle name="Гиперссылка" xfId="2101" builtinId="8" hidden="1"/>
    <cellStyle name="Гиперссылка" xfId="2103" builtinId="8" hidden="1"/>
    <cellStyle name="Гиперссылка" xfId="2105" builtinId="8" hidden="1"/>
    <cellStyle name="Гиперссылка" xfId="2107" builtinId="8" hidden="1"/>
    <cellStyle name="Гиперссылка" xfId="2109" builtinId="8" hidden="1"/>
    <cellStyle name="Гиперссылка" xfId="2111" builtinId="8" hidden="1"/>
    <cellStyle name="Гиперссылка" xfId="2113" builtinId="8" hidden="1"/>
    <cellStyle name="Гиперссылка" xfId="2115" builtinId="8" hidden="1"/>
    <cellStyle name="Гиперссылка" xfId="2117" builtinId="8" hidden="1"/>
    <cellStyle name="Гиперссылка" xfId="2119" builtinId="8" hidden="1"/>
    <cellStyle name="Гиперссылка" xfId="2121" builtinId="8" hidden="1"/>
    <cellStyle name="Гиперссылка" xfId="2123" builtinId="8" hidden="1"/>
    <cellStyle name="Гиперссылка" xfId="2125" builtinId="8" hidden="1"/>
    <cellStyle name="Гиперссылка" xfId="2127" builtinId="8" hidden="1"/>
    <cellStyle name="Гиперссылка" xfId="2129" builtinId="8" hidden="1"/>
    <cellStyle name="Гиперссылка" xfId="2131" builtinId="8" hidden="1"/>
    <cellStyle name="Гиперссылка" xfId="2133" builtinId="8" hidden="1"/>
    <cellStyle name="Гиперссылка" xfId="2135" builtinId="8" hidden="1"/>
    <cellStyle name="Гиперссылка" xfId="2137" builtinId="8" hidden="1"/>
    <cellStyle name="Гиперссылка" xfId="2139" builtinId="8" hidden="1"/>
    <cellStyle name="Гиперссылка" xfId="2141" builtinId="8" hidden="1"/>
    <cellStyle name="Гиперссылка" xfId="2143" builtinId="8" hidden="1"/>
    <cellStyle name="Гиперссылка" xfId="2145" builtinId="8" hidden="1"/>
    <cellStyle name="Гиперссылка" xfId="2147" builtinId="8" hidden="1"/>
    <cellStyle name="Гиперссылка" xfId="2149" builtinId="8" hidden="1"/>
    <cellStyle name="Гиперссылка" xfId="2151" builtinId="8" hidden="1"/>
    <cellStyle name="Гиперссылка" xfId="2153" builtinId="8" hidden="1"/>
    <cellStyle name="Гиперссылка" xfId="2155" builtinId="8" hidden="1"/>
    <cellStyle name="Гиперссылка" xfId="2157" builtinId="8" hidden="1"/>
    <cellStyle name="Гиперссылка" xfId="2159" builtinId="8" hidden="1"/>
    <cellStyle name="Гиперссылка" xfId="2161" builtinId="8" hidden="1"/>
    <cellStyle name="Гиперссылка" xfId="2163" builtinId="8" hidden="1"/>
    <cellStyle name="Гиперссылка" xfId="2165" builtinId="8" hidden="1"/>
    <cellStyle name="Гиперссылка" xfId="2167" builtinId="8" hidden="1"/>
    <cellStyle name="Гиперссылка" xfId="2169" builtinId="8" hidden="1"/>
    <cellStyle name="Гиперссылка" xfId="2171" builtinId="8" hidden="1"/>
    <cellStyle name="Гиперссылка" xfId="2173" builtinId="8" hidden="1"/>
    <cellStyle name="Гиперссылка" xfId="2175" builtinId="8" hidden="1"/>
    <cellStyle name="Гиперссылка" xfId="2177" builtinId="8" hidden="1"/>
    <cellStyle name="Гиперссылка" xfId="2179" builtinId="8" hidden="1"/>
    <cellStyle name="Гиперссылка" xfId="2181" builtinId="8" hidden="1"/>
    <cellStyle name="Гиперссылка" xfId="2183" builtinId="8" hidden="1"/>
    <cellStyle name="Гиперссылка" xfId="2185" builtinId="8" hidden="1"/>
    <cellStyle name="Гиперссылка" xfId="2187" builtinId="8" hidden="1"/>
    <cellStyle name="Гиперссылка" xfId="2189" builtinId="8" hidden="1"/>
    <cellStyle name="Гиперссылка" xfId="2191" builtinId="8" hidden="1"/>
    <cellStyle name="Гиперссылка" xfId="2193" builtinId="8" hidden="1"/>
    <cellStyle name="Гиперссылка" xfId="2195" builtinId="8" hidden="1"/>
    <cellStyle name="Гиперссылка" xfId="2197" builtinId="8" hidden="1"/>
    <cellStyle name="Гиперссылка" xfId="2199" builtinId="8" hidden="1"/>
    <cellStyle name="Гиперссылка" xfId="2201" builtinId="8" hidden="1"/>
    <cellStyle name="Гиперссылка" xfId="2203" builtinId="8" hidden="1"/>
    <cellStyle name="Гиперссылка" xfId="2205" builtinId="8" hidden="1"/>
    <cellStyle name="Гиперссылка" xfId="2207" builtinId="8" hidden="1"/>
    <cellStyle name="Гиперссылка" xfId="2209" builtinId="8" hidden="1"/>
    <cellStyle name="Гиперссылка" xfId="2211" builtinId="8" hidden="1"/>
    <cellStyle name="Гиперссылка" xfId="2213" builtinId="8" hidden="1"/>
    <cellStyle name="Гиперссылка" xfId="2215" builtinId="8" hidden="1"/>
    <cellStyle name="Гиперссылка" xfId="2217" builtinId="8" hidden="1"/>
    <cellStyle name="Гиперссылка" xfId="2219" builtinId="8" hidden="1"/>
    <cellStyle name="Гиперссылка" xfId="2221" builtinId="8" hidden="1"/>
    <cellStyle name="Гиперссылка" xfId="2223" builtinId="8" hidden="1"/>
    <cellStyle name="Гиперссылка" xfId="2225" builtinId="8" hidden="1"/>
    <cellStyle name="Гиперссылка" xfId="2227" builtinId="8" hidden="1"/>
    <cellStyle name="Гиперссылка" xfId="2229" builtinId="8" hidden="1"/>
    <cellStyle name="Гиперссылка" xfId="2231" builtinId="8" hidden="1"/>
    <cellStyle name="Гиперссылка" xfId="2233" builtinId="8" hidden="1"/>
    <cellStyle name="Гиперссылка" xfId="2235" builtinId="8" hidden="1"/>
    <cellStyle name="Гиперссылка" xfId="2237" builtinId="8" hidden="1"/>
    <cellStyle name="Гиперссылка" xfId="2239" builtinId="8" hidden="1"/>
    <cellStyle name="Гиперссылка" xfId="2241" builtinId="8" hidden="1"/>
    <cellStyle name="Гиперссылка" xfId="2243" builtinId="8" hidden="1"/>
    <cellStyle name="Гиперссылка" xfId="2245" builtinId="8" hidden="1"/>
    <cellStyle name="Гиперссылка" xfId="2247" builtinId="8" hidden="1"/>
    <cellStyle name="Гиперссылка" xfId="2249" builtinId="8" hidden="1"/>
    <cellStyle name="Гиперссылка" xfId="2251" builtinId="8" hidden="1"/>
    <cellStyle name="Гиперссылка" xfId="2253" builtinId="8" hidden="1"/>
    <cellStyle name="Гиперссылка" xfId="2255" builtinId="8" hidden="1"/>
    <cellStyle name="Гиперссылка" xfId="2257" builtinId="8" hidden="1"/>
    <cellStyle name="Гиперссылка" xfId="2259" builtinId="8" hidden="1"/>
    <cellStyle name="Гиперссылка" xfId="2261" builtinId="8" hidden="1"/>
    <cellStyle name="Гиперссылка" xfId="2263" builtinId="8" hidden="1"/>
    <cellStyle name="Гиперссылка" xfId="2265" builtinId="8" hidden="1"/>
    <cellStyle name="Гиперссылка" xfId="2267" builtinId="8" hidden="1"/>
    <cellStyle name="Гиперссылка" xfId="2269" builtinId="8" hidden="1"/>
    <cellStyle name="Гиперссылка" xfId="2271" builtinId="8" hidden="1"/>
    <cellStyle name="Гиперссылка" xfId="2273" builtinId="8" hidden="1"/>
    <cellStyle name="Гиперссылка" xfId="2275" builtinId="8" hidden="1"/>
    <cellStyle name="Гиперссылка" xfId="2277" builtinId="8" hidden="1"/>
    <cellStyle name="Гиперссылка" xfId="2279" builtinId="8" hidden="1"/>
    <cellStyle name="Гиперссылка" xfId="2281" builtinId="8" hidden="1"/>
    <cellStyle name="Гиперссылка" xfId="2283" builtinId="8" hidden="1"/>
    <cellStyle name="Гиперссылка" xfId="2285" builtinId="8" hidden="1"/>
    <cellStyle name="Гиперссылка" xfId="2287" builtinId="8" hidden="1"/>
    <cellStyle name="Гиперссылка" xfId="2289" builtinId="8" hidden="1"/>
    <cellStyle name="Гиперссылка" xfId="2291" builtinId="8" hidden="1"/>
    <cellStyle name="Гиперссылка" xfId="2293" builtinId="8" hidden="1"/>
    <cellStyle name="Гиперссылка" xfId="2295" builtinId="8" hidden="1"/>
    <cellStyle name="Гиперссылка" xfId="2297" builtinId="8" hidden="1"/>
    <cellStyle name="Гиперссылка" xfId="2299" builtinId="8" hidden="1"/>
    <cellStyle name="Гиперссылка" xfId="2301" builtinId="8" hidden="1"/>
    <cellStyle name="Гиперссылка" xfId="2303" builtinId="8" hidden="1"/>
    <cellStyle name="Гиперссылка" xfId="2305" builtinId="8" hidden="1"/>
    <cellStyle name="Гиперссылка" xfId="2307" builtinId="8" hidden="1"/>
    <cellStyle name="Гиперссылка" xfId="2309" builtinId="8" hidden="1"/>
    <cellStyle name="Гиперссылка" xfId="2311" builtinId="8" hidden="1"/>
    <cellStyle name="Гиперссылка" xfId="2313" builtinId="8" hidden="1"/>
    <cellStyle name="Гиперссылка" xfId="2315" builtinId="8" hidden="1"/>
    <cellStyle name="Гиперссылка" xfId="2317" builtinId="8" hidden="1"/>
    <cellStyle name="Гиперссылка" xfId="2319" builtinId="8" hidden="1"/>
    <cellStyle name="Гиперссылка" xfId="2321" builtinId="8" hidden="1"/>
    <cellStyle name="Гиперссылка" xfId="2323" builtinId="8" hidden="1"/>
    <cellStyle name="Гиперссылка" xfId="2325" builtinId="8" hidden="1"/>
    <cellStyle name="Гиперссылка" xfId="2327" builtinId="8" hidden="1"/>
    <cellStyle name="Гиперссылка" xfId="2329" builtinId="8" hidden="1"/>
    <cellStyle name="Гиперссылка" xfId="2331" builtinId="8" hidden="1"/>
    <cellStyle name="Гиперссылка" xfId="2333" builtinId="8" hidden="1"/>
    <cellStyle name="Гиперссылка" xfId="2335" builtinId="8" hidden="1"/>
    <cellStyle name="Гиперссылка" xfId="2337" builtinId="8" hidden="1"/>
    <cellStyle name="Гиперссылка" xfId="2339" builtinId="8" hidden="1"/>
    <cellStyle name="Гиперссылка" xfId="2341" builtinId="8" hidden="1"/>
    <cellStyle name="Гиперссылка" xfId="2343" builtinId="8" hidden="1"/>
    <cellStyle name="Гиперссылка" xfId="2345" builtinId="8" hidden="1"/>
    <cellStyle name="Гиперссылка" xfId="2347" builtinId="8" hidden="1"/>
    <cellStyle name="Гиперссылка" xfId="2349" builtinId="8" hidden="1"/>
    <cellStyle name="Гиперссылка" xfId="2351" builtinId="8" hidden="1"/>
    <cellStyle name="Гиперссылка" xfId="2353" builtinId="8" hidden="1"/>
    <cellStyle name="Гиперссылка" xfId="2355" builtinId="8" hidden="1"/>
    <cellStyle name="Гиперссылка" xfId="2357" builtinId="8" hidden="1"/>
    <cellStyle name="Гиперссылка" xfId="2359" builtinId="8" hidden="1"/>
    <cellStyle name="Гиперссылка" xfId="2361" builtinId="8" hidden="1"/>
    <cellStyle name="Гиперссылка" xfId="2363" builtinId="8" hidden="1"/>
    <cellStyle name="Гиперссылка" xfId="2365" builtinId="8" hidden="1"/>
    <cellStyle name="Гиперссылка" xfId="2367" builtinId="8" hidden="1"/>
    <cellStyle name="Гиперссылка" xfId="2369" builtinId="8" hidden="1"/>
    <cellStyle name="Гиперссылка" xfId="2371" builtinId="8" hidden="1"/>
    <cellStyle name="Гиперссылка" xfId="2373" builtinId="8" hidden="1"/>
    <cellStyle name="Гиперссылка" xfId="2375" builtinId="8" hidden="1"/>
    <cellStyle name="Гиперссылка" xfId="2377" builtinId="8" hidden="1"/>
    <cellStyle name="Гиперссылка" xfId="2379" builtinId="8" hidden="1"/>
    <cellStyle name="Гиперссылка" xfId="2381" builtinId="8" hidden="1"/>
    <cellStyle name="Гиперссылка" xfId="2383" builtinId="8" hidden="1"/>
    <cellStyle name="Гиперссылка" xfId="2385" builtinId="8" hidden="1"/>
    <cellStyle name="Гиперссылка" xfId="2387" builtinId="8" hidden="1"/>
    <cellStyle name="Гиперссылка" xfId="2389" builtinId="8" hidden="1"/>
    <cellStyle name="Гиперссылка" xfId="2391" builtinId="8" hidden="1"/>
    <cellStyle name="Гиперссылка" xfId="2393" builtinId="8" hidden="1"/>
    <cellStyle name="Гиперссылка" xfId="2395" builtinId="8" hidden="1"/>
    <cellStyle name="Гиперссылка" xfId="2397" builtinId="8" hidden="1"/>
    <cellStyle name="Гиперссылка" xfId="2399" builtinId="8" hidden="1"/>
    <cellStyle name="Гиперссылка" xfId="2401" builtinId="8" hidden="1"/>
    <cellStyle name="Гиперссылка" xfId="2403" builtinId="8" hidden="1"/>
    <cellStyle name="Гиперссылка" xfId="2405" builtinId="8" hidden="1"/>
    <cellStyle name="Гиперссылка" xfId="2407" builtinId="8" hidden="1"/>
    <cellStyle name="Гиперссылка" xfId="2409" builtinId="8" hidden="1"/>
    <cellStyle name="Гиперссылка" xfId="2411" builtinId="8" hidden="1"/>
    <cellStyle name="Гиперссылка" xfId="2413" builtinId="8" hidden="1"/>
    <cellStyle name="Гиперссылка" xfId="2415" builtinId="8" hidden="1"/>
    <cellStyle name="Гиперссылка" xfId="2417" builtinId="8" hidden="1"/>
    <cellStyle name="Гиперссылка" xfId="2419" builtinId="8" hidden="1"/>
    <cellStyle name="Гиперссылка" xfId="2421" builtinId="8" hidden="1"/>
    <cellStyle name="Гиперссылка" xfId="2423" builtinId="8" hidden="1"/>
    <cellStyle name="Гиперссылка" xfId="2425" builtinId="8" hidden="1"/>
    <cellStyle name="Гиперссылка" xfId="2427" builtinId="8" hidden="1"/>
    <cellStyle name="Гиперссылка" xfId="2429" builtinId="8" hidden="1"/>
    <cellStyle name="Гиперссылка" xfId="2431" builtinId="8" hidden="1"/>
    <cellStyle name="Гиперссылка" xfId="2433" builtinId="8" hidden="1"/>
    <cellStyle name="Гиперссылка" xfId="2435" builtinId="8" hidden="1"/>
    <cellStyle name="Гиперссылка" xfId="2437" builtinId="8" hidden="1"/>
    <cellStyle name="Гиперссылка" xfId="2439" builtinId="8" hidden="1"/>
    <cellStyle name="Гиперссылка" xfId="2441" builtinId="8" hidden="1"/>
    <cellStyle name="Гиперссылка" xfId="2443" builtinId="8" hidden="1"/>
    <cellStyle name="Гиперссылка" xfId="2445" builtinId="8" hidden="1"/>
    <cellStyle name="Гиперссылка" xfId="2447" builtinId="8" hidden="1"/>
    <cellStyle name="Гиперссылка" xfId="2449" builtinId="8" hidden="1"/>
    <cellStyle name="Гиперссылка" xfId="2451" builtinId="8" hidden="1"/>
    <cellStyle name="Гиперссылка" xfId="2453" builtinId="8" hidden="1"/>
    <cellStyle name="Гиперссылка" xfId="2455" builtinId="8" hidden="1"/>
    <cellStyle name="Гиперссылка" xfId="2457" builtinId="8" hidden="1"/>
    <cellStyle name="Гиперссылка" xfId="2459" builtinId="8" hidden="1"/>
    <cellStyle name="Гиперссылка" xfId="2461" builtinId="8" hidden="1"/>
    <cellStyle name="Гиперссылка" xfId="2463" builtinId="8" hidden="1"/>
    <cellStyle name="Гиперссылка" xfId="2465" builtinId="8" hidden="1"/>
    <cellStyle name="Гиперссылка" xfId="2467" builtinId="8" hidden="1"/>
    <cellStyle name="Гиперссылка" xfId="2469" builtinId="8" hidden="1"/>
    <cellStyle name="Гиперссылка" xfId="2471" builtinId="8" hidden="1"/>
    <cellStyle name="Гиперссылка" xfId="2473" builtinId="8" hidden="1"/>
    <cellStyle name="Гиперссылка" xfId="2475" builtinId="8" hidden="1"/>
    <cellStyle name="Гиперссылка" xfId="2477" builtinId="8" hidden="1"/>
    <cellStyle name="Гиперссылка" xfId="2479" builtinId="8" hidden="1"/>
    <cellStyle name="Гиперссылка" xfId="2481" builtinId="8" hidden="1"/>
    <cellStyle name="Гиперссылка" xfId="2483" builtinId="8" hidden="1"/>
    <cellStyle name="Гиперссылка" xfId="2485" builtinId="8" hidden="1"/>
    <cellStyle name="Гиперссылка" xfId="2487" builtinId="8" hidden="1"/>
    <cellStyle name="Гиперссылка" xfId="2489" builtinId="8" hidden="1"/>
    <cellStyle name="Гиперссылка" xfId="2491" builtinId="8" hidden="1"/>
    <cellStyle name="Гиперссылка" xfId="2493" builtinId="8" hidden="1"/>
    <cellStyle name="Гиперссылка" xfId="2495" builtinId="8" hidden="1"/>
    <cellStyle name="Гиперссылка" xfId="2497" builtinId="8" hidden="1"/>
    <cellStyle name="Гиперссылка" xfId="2499" builtinId="8" hidden="1"/>
    <cellStyle name="Гиперссылка" xfId="2501" builtinId="8" hidden="1"/>
    <cellStyle name="Гиперссылка" xfId="2503" builtinId="8" hidden="1"/>
    <cellStyle name="Гиперссылка" xfId="2505" builtinId="8" hidden="1"/>
    <cellStyle name="Гиперссылка" xfId="2507" builtinId="8" hidden="1"/>
    <cellStyle name="Гиперссылка" xfId="2509" builtinId="8" hidden="1"/>
    <cellStyle name="Гиперссылка" xfId="2511" builtinId="8" hidden="1"/>
    <cellStyle name="Гиперссылка" xfId="2513" builtinId="8" hidden="1"/>
    <cellStyle name="Гиперссылка" xfId="2515" builtinId="8" hidden="1"/>
    <cellStyle name="Гиперссылка" xfId="2517" builtinId="8" hidden="1"/>
    <cellStyle name="Гиперссылка" xfId="2519" builtinId="8" hidden="1"/>
    <cellStyle name="Гиперссылка" xfId="2521" builtinId="8" hidden="1"/>
    <cellStyle name="Гиперссылка" xfId="2523" builtinId="8" hidden="1"/>
    <cellStyle name="Гиперссылка" xfId="2525" builtinId="8" hidden="1"/>
    <cellStyle name="Гиперссылка" xfId="2527" builtinId="8" hidden="1"/>
    <cellStyle name="Гиперссылка" xfId="2529" builtinId="8" hidden="1"/>
    <cellStyle name="Гиперссылка" xfId="2531" builtinId="8" hidden="1"/>
    <cellStyle name="Гиперссылка" xfId="2533" builtinId="8" hidden="1"/>
    <cellStyle name="Гиперссылка" xfId="2535" builtinId="8" hidden="1"/>
    <cellStyle name="Гиперссылка" xfId="2537" builtinId="8" hidden="1"/>
    <cellStyle name="Гиперссылка" xfId="2539" builtinId="8" hidden="1"/>
    <cellStyle name="Гиперссылка" xfId="2541" builtinId="8" hidden="1"/>
    <cellStyle name="Гиперссылка" xfId="2543" builtinId="8" hidden="1"/>
    <cellStyle name="Гиперссылка" xfId="2545" builtinId="8" hidden="1"/>
    <cellStyle name="Гиперссылка" xfId="2547" builtinId="8" hidden="1"/>
    <cellStyle name="Гиперссылка" xfId="2549" builtinId="8" hidden="1"/>
    <cellStyle name="Гиперссылка" xfId="2551" builtinId="8" hidden="1"/>
    <cellStyle name="Гиперссылка" xfId="2553" builtinId="8" hidden="1"/>
    <cellStyle name="Гиперссылка" xfId="2555" builtinId="8" hidden="1"/>
    <cellStyle name="Гиперссылка" xfId="2557" builtinId="8" hidden="1"/>
    <cellStyle name="Гиперссылка" xfId="2559" builtinId="8" hidden="1"/>
    <cellStyle name="Гиперссылка" xfId="2561" builtinId="8" hidden="1"/>
    <cellStyle name="Гиперссылка" xfId="2563" builtinId="8" hidden="1"/>
    <cellStyle name="Гиперссылка" xfId="2565" builtinId="8" hidden="1"/>
    <cellStyle name="Гиперссылка" xfId="2567" builtinId="8" hidden="1"/>
    <cellStyle name="Гиперссылка" xfId="2569" builtinId="8" hidden="1"/>
    <cellStyle name="Гиперссылка" xfId="2571" builtinId="8" hidden="1"/>
    <cellStyle name="Гиперссылка" xfId="2573" builtinId="8" hidden="1"/>
    <cellStyle name="Гиперссылка" xfId="2575" builtinId="8" hidden="1"/>
    <cellStyle name="Гиперссылка" xfId="2577" builtinId="8" hidden="1"/>
    <cellStyle name="Гиперссылка" xfId="2579" builtinId="8" hidden="1"/>
    <cellStyle name="Гиперссылка" xfId="2581" builtinId="8" hidden="1"/>
    <cellStyle name="Гиперссылка" xfId="2583" builtinId="8" hidden="1"/>
    <cellStyle name="Гиперссылка" xfId="2585" builtinId="8" hidden="1"/>
    <cellStyle name="Гиперссылка" xfId="2587" builtinId="8" hidden="1"/>
    <cellStyle name="Гиперссылка" xfId="2589" builtinId="8" hidden="1"/>
    <cellStyle name="Гиперссылка" xfId="2591" builtinId="8" hidden="1"/>
    <cellStyle name="Гиперссылка" xfId="2593" builtinId="8" hidden="1"/>
    <cellStyle name="Гиперссылка" xfId="2595" builtinId="8" hidden="1"/>
    <cellStyle name="Гиперссылка" xfId="2597" builtinId="8" hidden="1"/>
    <cellStyle name="Гиперссылка" xfId="2599" builtinId="8" hidden="1"/>
    <cellStyle name="Гиперссылка" xfId="2601" builtinId="8" hidden="1"/>
    <cellStyle name="Гиперссылка" xfId="2603" builtinId="8" hidden="1"/>
    <cellStyle name="Гиперссылка" xfId="2605" builtinId="8" hidden="1"/>
    <cellStyle name="Гиперссылка" xfId="2607" builtinId="8" hidden="1"/>
    <cellStyle name="Гиперссылка" xfId="2609" builtinId="8" hidden="1"/>
    <cellStyle name="Гиперссылка" xfId="2611" builtinId="8" hidden="1"/>
    <cellStyle name="Гиперссылка" xfId="2613" builtinId="8" hidden="1"/>
    <cellStyle name="Гиперссылка" xfId="2615" builtinId="8" hidden="1"/>
    <cellStyle name="Гиперссылка" xfId="2617" builtinId="8" hidden="1"/>
    <cellStyle name="Гиперссылка" xfId="2619" builtinId="8" hidden="1"/>
    <cellStyle name="Гиперссылка" xfId="2621" builtinId="8" hidden="1"/>
    <cellStyle name="Гиперссылка" xfId="2623" builtinId="8" hidden="1"/>
    <cellStyle name="Гиперссылка" xfId="2625" builtinId="8" hidden="1"/>
    <cellStyle name="Гиперссылка" xfId="2627" builtinId="8" hidden="1"/>
    <cellStyle name="Гиперссылка" xfId="2629" builtinId="8" hidden="1"/>
    <cellStyle name="Гиперссылка" xfId="2631" builtinId="8" hidden="1"/>
    <cellStyle name="Гиперссылка" xfId="2633" builtinId="8" hidden="1"/>
    <cellStyle name="Гиперссылка" xfId="2635" builtinId="8" hidden="1"/>
    <cellStyle name="Гиперссылка" xfId="2637" builtinId="8" hidden="1"/>
    <cellStyle name="Гиперссылка" xfId="2639" builtinId="8" hidden="1"/>
    <cellStyle name="Гиперссылка" xfId="2641" builtinId="8" hidden="1"/>
    <cellStyle name="Гиперссылка" xfId="2643" builtinId="8" hidden="1"/>
    <cellStyle name="Гиперссылка" xfId="2645" builtinId="8" hidden="1"/>
    <cellStyle name="Гиперссылка" xfId="2647" builtinId="8" hidden="1"/>
    <cellStyle name="Гиперссылка" xfId="2649" builtinId="8" hidden="1"/>
    <cellStyle name="Гиперссылка" xfId="2651" builtinId="8" hidden="1"/>
    <cellStyle name="Гиперссылка" xfId="2653" builtinId="8" hidden="1"/>
    <cellStyle name="Гиперссылка" xfId="2655" builtinId="8" hidden="1"/>
    <cellStyle name="Гиперссылка" xfId="2657" builtinId="8" hidden="1"/>
    <cellStyle name="Гиперссылка" xfId="2659" builtinId="8" hidden="1"/>
    <cellStyle name="Гиперссылка" xfId="2661" builtinId="8" hidden="1"/>
    <cellStyle name="Гиперссылка" xfId="2663" builtinId="8" hidden="1"/>
    <cellStyle name="Гиперссылка" xfId="2665" builtinId="8" hidden="1"/>
    <cellStyle name="Гиперссылка" xfId="2667" builtinId="8" hidden="1"/>
    <cellStyle name="Гиперссылка" xfId="2669" builtinId="8" hidden="1"/>
    <cellStyle name="Гиперссылка" xfId="2671" builtinId="8" hidden="1"/>
    <cellStyle name="Гиперссылка" xfId="2673" builtinId="8" hidden="1"/>
    <cellStyle name="Гиперссылка" xfId="2675" builtinId="8" hidden="1"/>
    <cellStyle name="Гиперссылка" xfId="2677" builtinId="8" hidden="1"/>
    <cellStyle name="Гиперссылка" xfId="2679" builtinId="8" hidden="1"/>
    <cellStyle name="Гиперссылка" xfId="2681" builtinId="8" hidden="1"/>
    <cellStyle name="Гиперссылка" xfId="2683" builtinId="8" hidden="1"/>
    <cellStyle name="Гиперссылка" xfId="2685" builtinId="8" hidden="1"/>
    <cellStyle name="Гиперссылка" xfId="2687" builtinId="8" hidden="1"/>
    <cellStyle name="Гиперссылка" xfId="2689" builtinId="8" hidden="1"/>
    <cellStyle name="Гиперссылка" xfId="2691" builtinId="8" hidden="1"/>
    <cellStyle name="Гиперссылка" xfId="2693" builtinId="8" hidden="1"/>
    <cellStyle name="Гиперссылка" xfId="2695" builtinId="8" hidden="1"/>
    <cellStyle name="Гиперссылка" xfId="2697" builtinId="8" hidden="1"/>
    <cellStyle name="Гиперссылка" xfId="2699" builtinId="8" hidden="1"/>
    <cellStyle name="Гиперссылка" xfId="2701" builtinId="8" hidden="1"/>
    <cellStyle name="Гиперссылка" xfId="2703" builtinId="8" hidden="1"/>
    <cellStyle name="Гиперссылка" xfId="2705" builtinId="8" hidden="1"/>
    <cellStyle name="Гиперссылка" xfId="2707" builtinId="8" hidden="1"/>
    <cellStyle name="Гиперссылка" xfId="2709" builtinId="8" hidden="1"/>
    <cellStyle name="Гиперссылка" xfId="2711" builtinId="8" hidden="1"/>
    <cellStyle name="Гиперссылка" xfId="2713" builtinId="8" hidden="1"/>
    <cellStyle name="Гиперссылка" xfId="2715" builtinId="8" hidden="1"/>
    <cellStyle name="Гиперссылка" xfId="2717" builtinId="8" hidden="1"/>
    <cellStyle name="Гиперссылка" xfId="2719" builtinId="8" hidden="1"/>
    <cellStyle name="Гиперссылка" xfId="2721" builtinId="8" hidden="1"/>
    <cellStyle name="Гиперссылка" xfId="2723" builtinId="8" hidden="1"/>
    <cellStyle name="Гиперссылка" xfId="2725" builtinId="8" hidden="1"/>
    <cellStyle name="Гиперссылка" xfId="2727" builtinId="8" hidden="1"/>
    <cellStyle name="Гиперссылка" xfId="2729" builtinId="8" hidden="1"/>
    <cellStyle name="Гиперссылка" xfId="2731" builtinId="8" hidden="1"/>
    <cellStyle name="Гиперссылка" xfId="2733" builtinId="8" hidden="1"/>
    <cellStyle name="Гиперссылка" xfId="2735" builtinId="8" hidden="1"/>
    <cellStyle name="Гиперссылка" xfId="2737" builtinId="8" hidden="1"/>
    <cellStyle name="Гиперссылка" xfId="2739" builtinId="8" hidden="1"/>
    <cellStyle name="Гиперссылка" xfId="2741" builtinId="8" hidden="1"/>
    <cellStyle name="Гиперссылка" xfId="2743" builtinId="8" hidden="1"/>
    <cellStyle name="Гиперссылка" xfId="2745" builtinId="8" hidden="1"/>
    <cellStyle name="Гиперссылка" xfId="2747" builtinId="8" hidden="1"/>
    <cellStyle name="Гиперссылка" xfId="2749" builtinId="8" hidden="1"/>
    <cellStyle name="Гиперссылка" xfId="2751" builtinId="8" hidden="1"/>
    <cellStyle name="Гиперссылка" xfId="2753" builtinId="8" hidden="1"/>
    <cellStyle name="Гиперссылка" xfId="2755" builtinId="8" hidden="1"/>
    <cellStyle name="Гиперссылка" xfId="2757" builtinId="8" hidden="1"/>
    <cellStyle name="Гиперссылка" xfId="2759" builtinId="8" hidden="1"/>
    <cellStyle name="Гиперссылка" xfId="2761" builtinId="8" hidden="1"/>
    <cellStyle name="Гиперссылка" xfId="2763" builtinId="8" hidden="1"/>
    <cellStyle name="Гиперссылка" xfId="2765" builtinId="8" hidden="1"/>
    <cellStyle name="Гиперссылка" xfId="2767" builtinId="8" hidden="1"/>
    <cellStyle name="Гиперссылка" xfId="2769" builtinId="8" hidden="1"/>
    <cellStyle name="Гиперссылка" xfId="2771" builtinId="8" hidden="1"/>
    <cellStyle name="Гиперссылка" xfId="2773" builtinId="8" hidden="1"/>
    <cellStyle name="Гиперссылка" xfId="2775" builtinId="8" hidden="1"/>
    <cellStyle name="Гиперссылка" xfId="2777" builtinId="8" hidden="1"/>
    <cellStyle name="Гиперссылка" xfId="2779" builtinId="8" hidden="1"/>
    <cellStyle name="Гиперссылка" xfId="2781" builtinId="8" hidden="1"/>
    <cellStyle name="Гиперссылка" xfId="2783" builtinId="8" hidden="1"/>
    <cellStyle name="Гиперссылка" xfId="2785" builtinId="8" hidden="1"/>
    <cellStyle name="Гиперссылка" xfId="2787" builtinId="8" hidden="1"/>
    <cellStyle name="Гиперссылка" xfId="2789" builtinId="8" hidden="1"/>
    <cellStyle name="Гиперссылка" xfId="2791" builtinId="8" hidden="1"/>
    <cellStyle name="Гиперссылка" xfId="2793" builtinId="8" hidden="1"/>
    <cellStyle name="Гиперссылка" xfId="2795" builtinId="8" hidden="1"/>
    <cellStyle name="Гиперссылка" xfId="2797" builtinId="8" hidden="1"/>
    <cellStyle name="Гиперссылка" xfId="2799" builtinId="8" hidden="1"/>
    <cellStyle name="Гиперссылка" xfId="2801" builtinId="8" hidden="1"/>
    <cellStyle name="Гиперссылка" xfId="2803" builtinId="8" hidden="1"/>
    <cellStyle name="Гиперссылка" xfId="2805" builtinId="8" hidden="1"/>
    <cellStyle name="Гиперссылка" xfId="2807" builtinId="8" hidden="1"/>
    <cellStyle name="Гиперссылка" xfId="2809" builtinId="8" hidden="1"/>
    <cellStyle name="Гиперссылка" xfId="2811" builtinId="8" hidden="1"/>
    <cellStyle name="Гиперссылка" xfId="2813" builtinId="8" hidden="1"/>
    <cellStyle name="Гиперссылка" xfId="2815" builtinId="8" hidden="1"/>
    <cellStyle name="Гиперссылка" xfId="2817" builtinId="8" hidden="1"/>
    <cellStyle name="Гиперссылка" xfId="2819" builtinId="8" hidden="1"/>
    <cellStyle name="Гиперссылка" xfId="2821" builtinId="8" hidden="1"/>
    <cellStyle name="Гиперссылка" xfId="2823" builtinId="8" hidden="1"/>
    <cellStyle name="Гиперссылка" xfId="2825" builtinId="8" hidden="1"/>
    <cellStyle name="Гиперссылка" xfId="2827" builtinId="8" hidden="1"/>
    <cellStyle name="Гиперссылка" xfId="2829" builtinId="8" hidden="1"/>
    <cellStyle name="Гиперссылка" xfId="2831" builtinId="8" hidden="1"/>
    <cellStyle name="Гиперссылка" xfId="2833" builtinId="8" hidden="1"/>
    <cellStyle name="Гиперссылка" xfId="2835" builtinId="8" hidden="1"/>
    <cellStyle name="Гиперссылка" xfId="2837" builtinId="8" hidden="1"/>
    <cellStyle name="Гиперссылка" xfId="2839" builtinId="8" hidden="1"/>
    <cellStyle name="Гиперссылка" xfId="2841" builtinId="8" hidden="1"/>
    <cellStyle name="Гиперссылка" xfId="2843" builtinId="8" hidden="1"/>
    <cellStyle name="Гиперссылка" xfId="2845" builtinId="8" hidden="1"/>
    <cellStyle name="Гиперссылка" xfId="2847" builtinId="8" hidden="1"/>
    <cellStyle name="Гиперссылка" xfId="2849" builtinId="8" hidden="1"/>
    <cellStyle name="Гиперссылка" xfId="2851" builtinId="8" hidden="1"/>
    <cellStyle name="Гиперссылка" xfId="2853" builtinId="8" hidden="1"/>
    <cellStyle name="Гиперссылка" xfId="2855" builtinId="8" hidden="1"/>
    <cellStyle name="Гиперссылка" xfId="2857" builtinId="8" hidden="1"/>
    <cellStyle name="Гиперссылка" xfId="2859" builtinId="8" hidden="1"/>
    <cellStyle name="Гиперссылка" xfId="2861" builtinId="8" hidden="1"/>
    <cellStyle name="Гиперссылка" xfId="2863" builtinId="8" hidden="1"/>
    <cellStyle name="Гиперссылка" xfId="2865" builtinId="8" hidden="1"/>
    <cellStyle name="Гиперссылка" xfId="2867" builtinId="8" hidden="1"/>
    <cellStyle name="Гиперссылка" xfId="2869" builtinId="8" hidden="1"/>
    <cellStyle name="Гиперссылка" xfId="2871" builtinId="8" hidden="1"/>
    <cellStyle name="Гиперссылка" xfId="2873" builtinId="8" hidden="1"/>
    <cellStyle name="Гиперссылка" xfId="2875" builtinId="8" hidden="1"/>
    <cellStyle name="Гиперссылка" xfId="2877" builtinId="8" hidden="1"/>
    <cellStyle name="Гиперссылка" xfId="2879" builtinId="8" hidden="1"/>
    <cellStyle name="Гиперссылка" xfId="2881" builtinId="8" hidden="1"/>
    <cellStyle name="Гиперссылка" xfId="2883" builtinId="8" hidden="1"/>
    <cellStyle name="Гиперссылка" xfId="2885" builtinId="8" hidden="1"/>
    <cellStyle name="Гиперссылка" xfId="2887" builtinId="8" hidden="1"/>
    <cellStyle name="Гиперссылка" xfId="2889" builtinId="8" hidden="1"/>
    <cellStyle name="Гиперссылка" xfId="2891" builtinId="8" hidden="1"/>
    <cellStyle name="Гиперссылка" xfId="2893" builtinId="8" hidden="1"/>
    <cellStyle name="Гиперссылка" xfId="2895" builtinId="8" hidden="1"/>
    <cellStyle name="Гиперссылка" xfId="2897" builtinId="8" hidden="1"/>
    <cellStyle name="Гиперссылка" xfId="2899" builtinId="8" hidden="1"/>
    <cellStyle name="Гиперссылка" xfId="2901" builtinId="8" hidden="1"/>
    <cellStyle name="Гиперссылка" xfId="2903" builtinId="8" hidden="1"/>
    <cellStyle name="Гиперссылка" xfId="2905" builtinId="8" hidden="1"/>
    <cellStyle name="Гиперссылка" xfId="2907" builtinId="8" hidden="1"/>
    <cellStyle name="Гиперссылка" xfId="2909" builtinId="8" hidden="1"/>
    <cellStyle name="Гиперссылка" xfId="2911" builtinId="8" hidden="1"/>
    <cellStyle name="Гиперссылка" xfId="2913" builtinId="8" hidden="1"/>
    <cellStyle name="Гиперссылка" xfId="2915" builtinId="8" hidden="1"/>
    <cellStyle name="Гиперссылка" xfId="2917" builtinId="8" hidden="1"/>
    <cellStyle name="Гиперссылка" xfId="2919" builtinId="8" hidden="1"/>
    <cellStyle name="Гиперссылка" xfId="2921" builtinId="8" hidden="1"/>
    <cellStyle name="Гиперссылка" xfId="2923" builtinId="8" hidden="1"/>
    <cellStyle name="Гиперссылка" xfId="2925" builtinId="8" hidden="1"/>
    <cellStyle name="Гиперссылка" xfId="2927" builtinId="8" hidden="1"/>
    <cellStyle name="Гиперссылка" xfId="2929" builtinId="8" hidden="1"/>
    <cellStyle name="Гиперссылка" xfId="2931" builtinId="8" hidden="1"/>
    <cellStyle name="Гиперссылка" xfId="2933" builtinId="8" hidden="1"/>
    <cellStyle name="Гиперссылка" xfId="2935" builtinId="8" hidden="1"/>
    <cellStyle name="Гиперссылка" xfId="2937" builtinId="8" hidden="1"/>
    <cellStyle name="Гиперссылка" xfId="2939" builtinId="8" hidden="1"/>
    <cellStyle name="Гиперссылка" xfId="2941" builtinId="8" hidden="1"/>
    <cellStyle name="Гиперссылка" xfId="2943" builtinId="8" hidden="1"/>
    <cellStyle name="Гиперссылка" xfId="2945" builtinId="8" hidden="1"/>
    <cellStyle name="Гиперссылка" xfId="2947" builtinId="8" hidden="1"/>
    <cellStyle name="Гиперссылка" xfId="2949" builtinId="8" hidden="1"/>
    <cellStyle name="Гиперссылка" xfId="2951" builtinId="8" hidden="1"/>
    <cellStyle name="Гиперссылка" xfId="2953" builtinId="8" hidden="1"/>
    <cellStyle name="Гиперссылка" xfId="2955" builtinId="8" hidden="1"/>
    <cellStyle name="Гиперссылка" xfId="2957" builtinId="8" hidden="1"/>
    <cellStyle name="Гиперссылка" xfId="2959" builtinId="8" hidden="1"/>
    <cellStyle name="Гиперссылка" xfId="2961" builtinId="8" hidden="1"/>
    <cellStyle name="Гиперссылка" xfId="2963" builtinId="8" hidden="1"/>
    <cellStyle name="Гиперссылка" xfId="2965" builtinId="8" hidden="1"/>
    <cellStyle name="Гиперссылка" xfId="2967" builtinId="8" hidden="1"/>
    <cellStyle name="Гиперссылка" xfId="2969" builtinId="8" hidden="1"/>
    <cellStyle name="Гиперссылка" xfId="2971" builtinId="8" hidden="1"/>
    <cellStyle name="Гиперссылка" xfId="2973" builtinId="8" hidden="1"/>
    <cellStyle name="Гиперссылка" xfId="2975" builtinId="8" hidden="1"/>
    <cellStyle name="Гиперссылка" xfId="2977" builtinId="8" hidden="1"/>
    <cellStyle name="Гиперссылка" xfId="2979" builtinId="8" hidden="1"/>
    <cellStyle name="Гиперссылка" xfId="2981" builtinId="8" hidden="1"/>
    <cellStyle name="Гиперссылка" xfId="2983" builtinId="8" hidden="1"/>
    <cellStyle name="Гиперссылка" xfId="2985" builtinId="8" hidden="1"/>
    <cellStyle name="Гиперссылка" xfId="2987" builtinId="8" hidden="1"/>
    <cellStyle name="Гиперссылка" xfId="2989" builtinId="8" hidden="1"/>
    <cellStyle name="Гиперссылка" xfId="2991" builtinId="8" hidden="1"/>
    <cellStyle name="Гиперссылка" xfId="2993" builtinId="8" hidden="1"/>
    <cellStyle name="Гиперссылка" xfId="2995" builtinId="8" hidden="1"/>
    <cellStyle name="Гиперссылка" xfId="2997" builtinId="8" hidden="1"/>
    <cellStyle name="Гиперссылка" xfId="2999" builtinId="8" hidden="1"/>
    <cellStyle name="Гиперссылка" xfId="3001" builtinId="8" hidden="1"/>
    <cellStyle name="Гиперссылка" xfId="3003" builtinId="8" hidden="1"/>
    <cellStyle name="Гиперссылка" xfId="3005" builtinId="8" hidden="1"/>
    <cellStyle name="Гиперссылка" xfId="3007" builtinId="8" hidden="1"/>
    <cellStyle name="Гиперссылка" xfId="3009" builtinId="8" hidden="1"/>
    <cellStyle name="Гиперссылка" xfId="3011" builtinId="8" hidden="1"/>
    <cellStyle name="Гиперссылка" xfId="3013" builtinId="8" hidden="1"/>
    <cellStyle name="Гиперссылка" xfId="3015" builtinId="8" hidden="1"/>
    <cellStyle name="Гиперссылка" xfId="3017" builtinId="8" hidden="1"/>
    <cellStyle name="Гиперссылка" xfId="3019" builtinId="8" hidden="1"/>
    <cellStyle name="Гиперссылка" xfId="3021" builtinId="8" hidden="1"/>
    <cellStyle name="Гиперссылка" xfId="3023" builtinId="8" hidden="1"/>
    <cellStyle name="Гиперссылка" xfId="3025" builtinId="8" hidden="1"/>
    <cellStyle name="Гиперссылка" xfId="3027" builtinId="8" hidden="1"/>
    <cellStyle name="Гиперссылка" xfId="3029" builtinId="8" hidden="1"/>
    <cellStyle name="Гиперссылка" xfId="3031" builtinId="8" hidden="1"/>
    <cellStyle name="Гиперссылка" xfId="3033" builtinId="8" hidden="1"/>
    <cellStyle name="Гиперссылка" xfId="3035" builtinId="8" hidden="1"/>
    <cellStyle name="Гиперссылка" xfId="3037" builtinId="8" hidden="1"/>
    <cellStyle name="Гиперссылка" xfId="3039" builtinId="8" hidden="1"/>
    <cellStyle name="Гиперссылка" xfId="3041" builtinId="8" hidden="1"/>
    <cellStyle name="Гиперссылка" xfId="3043" builtinId="8" hidden="1"/>
    <cellStyle name="Гиперссылка" xfId="3045" builtinId="8" hidden="1"/>
    <cellStyle name="Гиперссылка" xfId="3047" builtinId="8" hidden="1"/>
    <cellStyle name="Гиперссылка" xfId="3049" builtinId="8" hidden="1"/>
    <cellStyle name="Гиперссылка" xfId="3051" builtinId="8" hidden="1"/>
    <cellStyle name="Гиперссылка" xfId="3053" builtinId="8" hidden="1"/>
    <cellStyle name="Гиперссылка" xfId="3055" builtinId="8" hidden="1"/>
    <cellStyle name="Гиперссылка" xfId="3057" builtinId="8" hidden="1"/>
    <cellStyle name="Гиперссылка" xfId="3059" builtinId="8" hidden="1"/>
    <cellStyle name="Гиперссылка" xfId="3061" builtinId="8" hidden="1"/>
    <cellStyle name="Гиперссылка" xfId="3063" builtinId="8" hidden="1"/>
    <cellStyle name="Гиперссылка" xfId="3065" builtinId="8" hidden="1"/>
    <cellStyle name="Гиперссылка" xfId="3067" builtinId="8" hidden="1"/>
    <cellStyle name="Гиперссылка" xfId="3069" builtinId="8" hidden="1"/>
    <cellStyle name="Гиперссылка" xfId="3071" builtinId="8" hidden="1"/>
    <cellStyle name="Гиперссылка" xfId="3073" builtinId="8" hidden="1"/>
    <cellStyle name="Гиперссылка" xfId="3075" builtinId="8" hidden="1"/>
    <cellStyle name="Гиперссылка" xfId="3077" builtinId="8" hidden="1"/>
    <cellStyle name="Гиперссылка" xfId="3079" builtinId="8" hidden="1"/>
    <cellStyle name="Гиперссылка" xfId="3081" builtinId="8" hidden="1"/>
    <cellStyle name="Гиперссылка" xfId="3083" builtinId="8" hidden="1"/>
    <cellStyle name="Гиперссылка" xfId="3085" builtinId="8" hidden="1"/>
    <cellStyle name="Гиперссылка" xfId="3087" builtinId="8" hidden="1"/>
    <cellStyle name="Гиперссылка" xfId="3089" builtinId="8" hidden="1"/>
    <cellStyle name="Гиперссылка" xfId="3091" builtinId="8" hidden="1"/>
    <cellStyle name="Гиперссылка" xfId="3093" builtinId="8" hidden="1"/>
    <cellStyle name="Гиперссылка" xfId="3095" builtinId="8" hidden="1"/>
    <cellStyle name="Гиперссылка" xfId="3097" builtinId="8" hidden="1"/>
    <cellStyle name="Гиперссылка" xfId="3099" builtinId="8" hidden="1"/>
    <cellStyle name="Гиперссылка" xfId="3101" builtinId="8" hidden="1"/>
    <cellStyle name="Гиперссылка" xfId="3103" builtinId="8" hidden="1"/>
    <cellStyle name="Гиперссылка" xfId="3105" builtinId="8" hidden="1"/>
    <cellStyle name="Гиперссылка" xfId="3107" builtinId="8" hidden="1"/>
    <cellStyle name="Гиперссылка" xfId="3109" builtinId="8" hidden="1"/>
    <cellStyle name="Гиперссылка" xfId="3111" builtinId="8" hidden="1"/>
    <cellStyle name="Гиперссылка" xfId="3113" builtinId="8" hidden="1"/>
    <cellStyle name="Гиперссылка" xfId="3115" builtinId="8" hidden="1"/>
    <cellStyle name="Гиперссылка" xfId="3117" builtinId="8" hidden="1"/>
    <cellStyle name="Гиперссылка" xfId="3119" builtinId="8" hidden="1"/>
    <cellStyle name="Гиперссылка" xfId="3121" builtinId="8" hidden="1"/>
    <cellStyle name="Гиперссылка" xfId="3123" builtinId="8" hidden="1"/>
    <cellStyle name="Гиперссылка" xfId="3125" builtinId="8" hidden="1"/>
    <cellStyle name="Гиперссылка" xfId="3127" builtinId="8" hidden="1"/>
    <cellStyle name="Гиперссылка" xfId="3129" builtinId="8" hidden="1"/>
    <cellStyle name="Гиперссылка" xfId="3131" builtinId="8" hidden="1"/>
    <cellStyle name="Гиперссылка" xfId="3133" builtinId="8" hidden="1"/>
    <cellStyle name="Гиперссылка" xfId="3135" builtinId="8" hidden="1"/>
    <cellStyle name="Гиперссылка" xfId="3137" builtinId="8" hidden="1"/>
    <cellStyle name="Гиперссылка" xfId="3139" builtinId="8" hidden="1"/>
    <cellStyle name="Гиперссылка" xfId="3141" builtinId="8" hidden="1"/>
    <cellStyle name="Гиперссылка" xfId="3143" builtinId="8" hidden="1"/>
    <cellStyle name="Гиперссылка" xfId="3145" builtinId="8" hidden="1"/>
    <cellStyle name="Гиперссылка" xfId="3147" builtinId="8" hidden="1"/>
    <cellStyle name="Гиперссылка" xfId="3149" builtinId="8" hidden="1"/>
    <cellStyle name="Гиперссылка" xfId="3151" builtinId="8" hidden="1"/>
    <cellStyle name="Гиперссылка" xfId="3153" builtinId="8" hidden="1"/>
    <cellStyle name="Гиперссылка" xfId="3155" builtinId="8" hidden="1"/>
    <cellStyle name="Гиперссылка" xfId="3157" builtinId="8" hidden="1"/>
    <cellStyle name="Гиперссылка" xfId="3159" builtinId="8" hidden="1"/>
    <cellStyle name="Гиперссылка" xfId="3161" builtinId="8" hidden="1"/>
    <cellStyle name="Гиперссылка" xfId="3163" builtinId="8" hidden="1"/>
    <cellStyle name="Гиперссылка" xfId="3165" builtinId="8" hidden="1"/>
    <cellStyle name="Гиперссылка" xfId="3167" builtinId="8" hidden="1"/>
    <cellStyle name="Гиперссылка" xfId="3169" builtinId="8" hidden="1"/>
    <cellStyle name="Гиперссылка" xfId="3171" builtinId="8" hidden="1"/>
    <cellStyle name="Гиперссылка" xfId="3173" builtinId="8" hidden="1"/>
    <cellStyle name="Гиперссылка" xfId="3175" builtinId="8" hidden="1"/>
    <cellStyle name="Гиперссылка" xfId="3177" builtinId="8" hidden="1"/>
    <cellStyle name="Гиперссылка" xfId="3179" builtinId="8" hidden="1"/>
    <cellStyle name="Гиперссылка" xfId="3181" builtinId="8" hidden="1"/>
    <cellStyle name="Гиперссылка" xfId="3183" builtinId="8" hidden="1"/>
    <cellStyle name="Гиперссылка" xfId="3185" builtinId="8" hidden="1"/>
    <cellStyle name="Гиперссылка" xfId="3187" builtinId="8" hidden="1"/>
    <cellStyle name="Гиперссылка" xfId="3189" builtinId="8" hidden="1"/>
    <cellStyle name="Гиперссылка" xfId="3191" builtinId="8" hidden="1"/>
    <cellStyle name="Гиперссылка" xfId="3193" builtinId="8" hidden="1"/>
    <cellStyle name="Гиперссылка" xfId="3195" builtinId="8" hidden="1"/>
    <cellStyle name="Гиперссылка" xfId="3197" builtinId="8" hidden="1"/>
    <cellStyle name="Гиперссылка" xfId="3199" builtinId="8" hidden="1"/>
    <cellStyle name="Гиперссылка" xfId="3201" builtinId="8" hidden="1"/>
    <cellStyle name="Гиперссылка" xfId="3203" builtinId="8" hidden="1"/>
    <cellStyle name="Гиперссылка" xfId="3205" builtinId="8" hidden="1"/>
    <cellStyle name="Гиперссылка" xfId="3207" builtinId="8" hidden="1"/>
    <cellStyle name="Гиперссылка" xfId="3209" builtinId="8" hidden="1"/>
    <cellStyle name="Гиперссылка" xfId="3211" builtinId="8" hidden="1"/>
    <cellStyle name="Гиперссылка" xfId="3213" builtinId="8" hidden="1"/>
    <cellStyle name="Гиперссылка" xfId="3215" builtinId="8" hidden="1"/>
    <cellStyle name="Гиперссылка" xfId="3217" builtinId="8" hidden="1"/>
    <cellStyle name="Гиперссылка" xfId="3219" builtinId="8" hidden="1"/>
    <cellStyle name="Гиперссылка" xfId="3221" builtinId="8" hidden="1"/>
    <cellStyle name="Гиперссылка" xfId="3223" builtinId="8" hidden="1"/>
    <cellStyle name="Гиперссылка" xfId="3225" builtinId="8" hidden="1"/>
    <cellStyle name="Гиперссылка" xfId="3227" builtinId="8" hidden="1"/>
    <cellStyle name="Гиперссылка" xfId="3229" builtinId="8" hidden="1"/>
    <cellStyle name="Гиперссылка" xfId="3231" builtinId="8" hidden="1"/>
    <cellStyle name="Гиперссылка" xfId="3233" builtinId="8" hidden="1"/>
    <cellStyle name="Гиперссылка" xfId="3235" builtinId="8" hidden="1"/>
    <cellStyle name="Гиперссылка" xfId="3237" builtinId="8" hidden="1"/>
    <cellStyle name="Гиперссылка" xfId="3239" builtinId="8" hidden="1"/>
    <cellStyle name="Гиперссылка" xfId="3241" builtinId="8" hidden="1"/>
    <cellStyle name="Гиперссылка" xfId="3243" builtinId="8" hidden="1"/>
    <cellStyle name="Гиперссылка" xfId="3245" builtinId="8" hidden="1"/>
    <cellStyle name="Гиперссылка" xfId="3247" builtinId="8" hidden="1"/>
    <cellStyle name="Гиперссылка" xfId="3249" builtinId="8" hidden="1"/>
    <cellStyle name="Гиперссылка" xfId="3251" builtinId="8" hidden="1"/>
    <cellStyle name="Гиперссылка" xfId="3253" builtinId="8" hidden="1"/>
    <cellStyle name="Гиперссылка" xfId="3255" builtinId="8" hidden="1"/>
    <cellStyle name="Гиперссылка" xfId="3257" builtinId="8" hidden="1"/>
    <cellStyle name="Гиперссылка" xfId="3259" builtinId="8" hidden="1"/>
    <cellStyle name="Гиперссылка" xfId="3261" builtinId="8" hidden="1"/>
    <cellStyle name="Гиперссылка" xfId="3263" builtinId="8" hidden="1"/>
    <cellStyle name="Гиперссылка" xfId="3265" builtinId="8" hidden="1"/>
    <cellStyle name="Гиперссылка" xfId="3267" builtinId="8" hidden="1"/>
    <cellStyle name="Гиперссылка" xfId="3269" builtinId="8" hidden="1"/>
    <cellStyle name="Гиперссылка" xfId="3271" builtinId="8" hidden="1"/>
    <cellStyle name="Гиперссылка" xfId="3273" builtinId="8" hidden="1"/>
    <cellStyle name="Гиперссылка" xfId="3275" builtinId="8" hidden="1"/>
    <cellStyle name="Гиперссылка" xfId="3277" builtinId="8" hidden="1"/>
    <cellStyle name="Гиперссылка" xfId="3279" builtinId="8" hidden="1"/>
    <cellStyle name="Гиперссылка" xfId="3281" builtinId="8" hidden="1"/>
    <cellStyle name="Гиперссылка" xfId="3283" builtinId="8" hidden="1"/>
    <cellStyle name="Гиперссылка" xfId="3285" builtinId="8" hidden="1"/>
    <cellStyle name="Гиперссылка" xfId="3287" builtinId="8" hidden="1"/>
    <cellStyle name="Гиперссылка" xfId="3289" builtinId="8" hidden="1"/>
    <cellStyle name="Гиперссылка" xfId="3291" builtinId="8" hidden="1"/>
    <cellStyle name="Гиперссылка" xfId="3293" builtinId="8" hidden="1"/>
    <cellStyle name="Гиперссылка" xfId="3295" builtinId="8" hidden="1"/>
    <cellStyle name="Гиперссылка" xfId="3297" builtinId="8" hidden="1"/>
    <cellStyle name="Гиперссылка" xfId="3299" builtinId="8" hidden="1"/>
    <cellStyle name="Гиперссылка" xfId="3301" builtinId="8" hidden="1"/>
    <cellStyle name="Гиперссылка" xfId="3303" builtinId="8" hidden="1"/>
    <cellStyle name="Гиперссылка" xfId="3305" builtinId="8" hidden="1"/>
    <cellStyle name="Гиперссылка" xfId="3307" builtinId="8" hidden="1"/>
    <cellStyle name="Гиперссылка" xfId="3309" builtinId="8" hidden="1"/>
    <cellStyle name="Гиперссылка" xfId="3311" builtinId="8" hidden="1"/>
    <cellStyle name="Гиперссылка" xfId="3313" builtinId="8" hidden="1"/>
    <cellStyle name="Гиперссылка" xfId="3315" builtinId="8" hidden="1"/>
    <cellStyle name="Гиперссылка" xfId="3317" builtinId="8" hidden="1"/>
    <cellStyle name="Гиперссылка" xfId="3319" builtinId="8" hidden="1"/>
    <cellStyle name="Гиперссылка" xfId="3321" builtinId="8" hidden="1"/>
    <cellStyle name="Гиперссылка" xfId="3323" builtinId="8" hidden="1"/>
    <cellStyle name="Гиперссылка" xfId="3325" builtinId="8" hidden="1"/>
    <cellStyle name="Гиперссылка" xfId="3327" builtinId="8" hidden="1"/>
    <cellStyle name="Гиперссылка" xfId="3329" builtinId="8" hidden="1"/>
    <cellStyle name="Гиперссылка" xfId="3331" builtinId="8" hidden="1"/>
    <cellStyle name="Гиперссылка" xfId="3333" builtinId="8" hidden="1"/>
    <cellStyle name="Гиперссылка" xfId="3335" builtinId="8" hidden="1"/>
    <cellStyle name="Гиперссылка" xfId="3337" builtinId="8" hidden="1"/>
    <cellStyle name="Гиперссылка" xfId="3339" builtinId="8" hidden="1"/>
    <cellStyle name="Гиперссылка" xfId="3341" builtinId="8" hidden="1"/>
    <cellStyle name="Гиперссылка" xfId="3343" builtinId="8" hidden="1"/>
    <cellStyle name="Гиперссылка" xfId="3345" builtinId="8" hidden="1"/>
    <cellStyle name="Гиперссылка" xfId="3347" builtinId="8" hidden="1"/>
    <cellStyle name="Гиперссылка" xfId="3349" builtinId="8" hidden="1"/>
    <cellStyle name="Гиперссылка" xfId="3351" builtinId="8" hidden="1"/>
    <cellStyle name="Гиперссылка" xfId="3353" builtinId="8" hidden="1"/>
    <cellStyle name="Гиперссылка" xfId="3355" builtinId="8" hidden="1"/>
    <cellStyle name="Гиперссылка" xfId="3357" builtinId="8" hidden="1"/>
    <cellStyle name="Гиперссылка" xfId="3359" builtinId="8" hidden="1"/>
    <cellStyle name="Гиперссылка" xfId="3361" builtinId="8" hidden="1"/>
    <cellStyle name="Гиперссылка" xfId="3363" builtinId="8" hidden="1"/>
    <cellStyle name="Гиперссылка" xfId="3365" builtinId="8" hidden="1"/>
    <cellStyle name="Гиперссылка" xfId="3367" builtinId="8" hidden="1"/>
    <cellStyle name="Гиперссылка" xfId="3369" builtinId="8" hidden="1"/>
    <cellStyle name="Гиперссылка" xfId="3371" builtinId="8" hidden="1"/>
    <cellStyle name="Гиперссылка" xfId="3373" builtinId="8" hidden="1"/>
    <cellStyle name="Гиперссылка" xfId="3375" builtinId="8" hidden="1"/>
    <cellStyle name="Гиперссылка" xfId="3377" builtinId="8" hidden="1"/>
    <cellStyle name="Гиперссылка" xfId="3379" builtinId="8" hidden="1"/>
    <cellStyle name="Гиперссылка" xfId="3381" builtinId="8" hidden="1"/>
    <cellStyle name="Гиперссылка" xfId="3383" builtinId="8" hidden="1"/>
    <cellStyle name="Гиперссылка" xfId="3385" builtinId="8" hidden="1"/>
    <cellStyle name="Гиперссылка" xfId="3387" builtinId="8" hidden="1"/>
    <cellStyle name="Гиперссылка" xfId="3389" builtinId="8" hidden="1"/>
    <cellStyle name="Гиперссылка" xfId="3391" builtinId="8" hidden="1"/>
    <cellStyle name="Гиперссылка" xfId="3393" builtinId="8" hidden="1"/>
    <cellStyle name="Гиперссылка" xfId="3395" builtinId="8" hidden="1"/>
    <cellStyle name="Гиперссылка" xfId="3397" builtinId="8" hidden="1"/>
    <cellStyle name="Гиперссылка" xfId="3399" builtinId="8" hidden="1"/>
    <cellStyle name="Гиперссылка" xfId="3401" builtinId="8" hidden="1"/>
    <cellStyle name="Гиперссылка" xfId="3403" builtinId="8" hidden="1"/>
    <cellStyle name="Гиперссылка" xfId="3405" builtinId="8" hidden="1"/>
    <cellStyle name="Гиперссылка" xfId="3407" builtinId="8" hidden="1"/>
    <cellStyle name="Гиперссылка" xfId="3409" builtinId="8" hidden="1"/>
    <cellStyle name="Гиперссылка" xfId="3411" builtinId="8" hidden="1"/>
    <cellStyle name="Гиперссылка" xfId="3413" builtinId="8" hidden="1"/>
    <cellStyle name="Гиперссылка" xfId="3415" builtinId="8" hidden="1"/>
    <cellStyle name="Гиперссылка" xfId="3417" builtinId="8" hidden="1"/>
    <cellStyle name="Гиперссылка 2" xfId="45" xr:uid="{00000000-0005-0000-0000-000012000000}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4" xr:uid="{00000000-0005-0000-0000-000013000000}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  <cellStyle name="Открывавшаяся гиперссылка" xfId="227" builtinId="9" hidden="1"/>
    <cellStyle name="Открывавшаяся гиперссылка" xfId="229" builtinId="9" hidden="1"/>
    <cellStyle name="Открывавшаяся гиперссылка" xfId="231" builtinId="9" hidden="1"/>
    <cellStyle name="Открывавшаяся гиперссылка" xfId="233" builtinId="9" hidden="1"/>
    <cellStyle name="Открывавшаяся гиперссылка" xfId="235" builtinId="9" hidden="1"/>
    <cellStyle name="Открывавшаяся гиперссылка" xfId="237" builtinId="9" hidden="1"/>
    <cellStyle name="Открывавшаяся гиперссылка" xfId="239" builtinId="9" hidden="1"/>
    <cellStyle name="Открывавшаяся гиперссылка" xfId="241" builtinId="9" hidden="1"/>
    <cellStyle name="Открывавшаяся гиперссылка" xfId="243" builtinId="9" hidden="1"/>
    <cellStyle name="Открывавшаяся гиперссылка" xfId="245" builtinId="9" hidden="1"/>
    <cellStyle name="Открывавшаяся гиперссылка" xfId="247" builtinId="9" hidden="1"/>
    <cellStyle name="Открывавшаяся гиперссылка" xfId="249" builtinId="9" hidden="1"/>
    <cellStyle name="Открывавшаяся гиперссылка" xfId="251" builtinId="9" hidden="1"/>
    <cellStyle name="Открывавшаяся гиперссылка" xfId="253" builtinId="9" hidden="1"/>
    <cellStyle name="Открывавшаяся гиперссылка" xfId="255" builtinId="9" hidden="1"/>
    <cellStyle name="Открывавшаяся гиперссылка" xfId="257" builtinId="9" hidden="1"/>
    <cellStyle name="Открывавшаяся гиперссылка" xfId="259" builtinId="9" hidden="1"/>
    <cellStyle name="Открывавшаяся гиперссылка" xfId="261" builtinId="9" hidden="1"/>
    <cellStyle name="Открывавшаяся гиперссылка" xfId="263" builtinId="9" hidden="1"/>
    <cellStyle name="Открывавшаяся гиперссылка" xfId="265" builtinId="9" hidden="1"/>
    <cellStyle name="Открывавшаяся гиперссылка" xfId="267" builtinId="9" hidden="1"/>
    <cellStyle name="Открывавшаяся гиперссылка" xfId="269" builtinId="9" hidden="1"/>
    <cellStyle name="Открывавшаяся гиперссылка" xfId="271" builtinId="9" hidden="1"/>
    <cellStyle name="Открывавшаяся гиперссылка" xfId="273" builtinId="9" hidden="1"/>
    <cellStyle name="Открывавшаяся гиперссылка" xfId="275" builtinId="9" hidden="1"/>
    <cellStyle name="Открывавшаяся гиперссылка" xfId="277" builtinId="9" hidden="1"/>
    <cellStyle name="Открывавшаяся гиперссылка" xfId="279" builtinId="9" hidden="1"/>
    <cellStyle name="Открывавшаяся гиперссылка" xfId="281" builtinId="9" hidden="1"/>
    <cellStyle name="Открывавшаяся гиперссылка" xfId="283" builtinId="9" hidden="1"/>
    <cellStyle name="Открывавшаяся гиперссылка" xfId="285" builtinId="9" hidden="1"/>
    <cellStyle name="Открывавшаяся гиперссылка" xfId="287" builtinId="9" hidden="1"/>
    <cellStyle name="Открывавшаяся гиперссылка" xfId="289" builtinId="9" hidden="1"/>
    <cellStyle name="Открывавшаяся гиперссылка" xfId="291" builtinId="9" hidden="1"/>
    <cellStyle name="Открывавшаяся гиперссылка" xfId="293" builtinId="9" hidden="1"/>
    <cellStyle name="Открывавшаяся гиперссылка" xfId="295" builtinId="9" hidden="1"/>
    <cellStyle name="Открывавшаяся гиперссылка" xfId="297" builtinId="9" hidden="1"/>
    <cellStyle name="Открывавшаяся гиперссылка" xfId="299" builtinId="9" hidden="1"/>
    <cellStyle name="Открывавшаяся гиперссылка" xfId="301" builtinId="9" hidden="1"/>
    <cellStyle name="Открывавшаяся гиперссылка" xfId="303" builtinId="9" hidden="1"/>
    <cellStyle name="Открывавшаяся гиперссылка" xfId="305" builtinId="9" hidden="1"/>
    <cellStyle name="Открывавшаяся гиперссылка" xfId="307" builtinId="9" hidden="1"/>
    <cellStyle name="Открывавшаяся гиперссылка" xfId="309" builtinId="9" hidden="1"/>
    <cellStyle name="Открывавшаяся гиперссылка" xfId="311" builtinId="9" hidden="1"/>
    <cellStyle name="Открывавшаяся гиперссылка" xfId="313" builtinId="9" hidden="1"/>
    <cellStyle name="Открывавшаяся гиперссылка" xfId="315" builtinId="9" hidden="1"/>
    <cellStyle name="Открывавшаяся гиперссылка" xfId="317" builtinId="9" hidden="1"/>
    <cellStyle name="Открывавшаяся гиперссылка" xfId="319" builtinId="9" hidden="1"/>
    <cellStyle name="Открывавшаяся гиперссылка" xfId="321" builtinId="9" hidden="1"/>
    <cellStyle name="Открывавшаяся гиперссылка" xfId="323" builtinId="9" hidden="1"/>
    <cellStyle name="Открывавшаяся гиперссылка" xfId="325" builtinId="9" hidden="1"/>
    <cellStyle name="Открывавшаяся гиперссылка" xfId="327" builtinId="9" hidden="1"/>
    <cellStyle name="Открывавшаяся гиперссылка" xfId="329" builtinId="9" hidden="1"/>
    <cellStyle name="Открывавшаяся гиперссылка" xfId="331" builtinId="9" hidden="1"/>
    <cellStyle name="Открывавшаяся гиперссылка" xfId="333" builtinId="9" hidden="1"/>
    <cellStyle name="Открывавшаяся гиперссылка" xfId="335" builtinId="9" hidden="1"/>
    <cellStyle name="Открывавшаяся гиперссылка" xfId="337" builtinId="9" hidden="1"/>
    <cellStyle name="Открывавшаяся гиперссылка" xfId="339" builtinId="9" hidden="1"/>
    <cellStyle name="Открывавшаяся гиперссылка" xfId="341" builtinId="9" hidden="1"/>
    <cellStyle name="Открывавшаяся гиперссылка" xfId="343" builtinId="9" hidden="1"/>
    <cellStyle name="Открывавшаяся гиперссылка" xfId="345" builtinId="9" hidden="1"/>
    <cellStyle name="Открывавшаяся гиперссылка" xfId="347" builtinId="9" hidden="1"/>
    <cellStyle name="Открывавшаяся гиперссылка" xfId="349" builtinId="9" hidden="1"/>
    <cellStyle name="Открывавшаяся гиперссылка" xfId="351" builtinId="9" hidden="1"/>
    <cellStyle name="Открывавшаяся гиперссылка" xfId="353" builtinId="9" hidden="1"/>
    <cellStyle name="Открывавшаяся гиперссылка" xfId="355" builtinId="9" hidden="1"/>
    <cellStyle name="Открывавшаяся гиперссылка" xfId="357" builtinId="9" hidden="1"/>
    <cellStyle name="Открывавшаяся гиперссылка" xfId="359" builtinId="9" hidden="1"/>
    <cellStyle name="Открывавшаяся гиперссылка" xfId="361" builtinId="9" hidden="1"/>
    <cellStyle name="Открывавшаяся гиперссылка" xfId="363" builtinId="9" hidden="1"/>
    <cellStyle name="Открывавшаяся гиперссылка" xfId="365" builtinId="9" hidden="1"/>
    <cellStyle name="Открывавшаяся гиперссылка" xfId="367" builtinId="9" hidden="1"/>
    <cellStyle name="Открывавшаяся гиперссылка" xfId="369" builtinId="9" hidden="1"/>
    <cellStyle name="Открывавшаяся гиперссылка" xfId="371" builtinId="9" hidden="1"/>
    <cellStyle name="Открывавшаяся гиперссылка" xfId="373" builtinId="9" hidden="1"/>
    <cellStyle name="Открывавшаяся гиперссылка" xfId="375" builtinId="9" hidden="1"/>
    <cellStyle name="Открывавшаяся гиперссылка" xfId="377" builtinId="9" hidden="1"/>
    <cellStyle name="Открывавшаяся гиперссылка" xfId="379" builtinId="9" hidden="1"/>
    <cellStyle name="Открывавшаяся гиперссылка" xfId="381" builtinId="9" hidden="1"/>
    <cellStyle name="Открывавшаяся гиперссылка" xfId="383" builtinId="9" hidden="1"/>
    <cellStyle name="Открывавшаяся гиперссылка" xfId="385" builtinId="9" hidden="1"/>
    <cellStyle name="Открывавшаяся гиперссылка" xfId="387" builtinId="9" hidden="1"/>
    <cellStyle name="Открывавшаяся гиперссылка" xfId="389" builtinId="9" hidden="1"/>
    <cellStyle name="Открывавшаяся гиперссылка" xfId="391" builtinId="9" hidden="1"/>
    <cellStyle name="Открывавшаяся гиперссылка" xfId="393" builtinId="9" hidden="1"/>
    <cellStyle name="Открывавшаяся гиперссылка" xfId="395" builtinId="9" hidden="1"/>
    <cellStyle name="Открывавшаяся гиперссылка" xfId="397" builtinId="9" hidden="1"/>
    <cellStyle name="Открывавшаяся гиперссылка" xfId="399" builtinId="9" hidden="1"/>
    <cellStyle name="Открывавшаяся гиперссылка" xfId="401" builtinId="9" hidden="1"/>
    <cellStyle name="Открывавшаяся гиперссылка" xfId="403" builtinId="9" hidden="1"/>
    <cellStyle name="Открывавшаяся гиперссылка" xfId="405" builtinId="9" hidden="1"/>
    <cellStyle name="Открывавшаяся гиперссылка" xfId="407" builtinId="9" hidden="1"/>
    <cellStyle name="Открывавшаяся гиперссылка" xfId="409" builtinId="9" hidden="1"/>
    <cellStyle name="Открывавшаяся гиперссылка" xfId="411" builtinId="9" hidden="1"/>
    <cellStyle name="Открывавшаяся гиперссылка" xfId="413" builtinId="9" hidden="1"/>
    <cellStyle name="Открывавшаяся гиперссылка" xfId="415" builtinId="9" hidden="1"/>
    <cellStyle name="Открывавшаяся гиперссылка" xfId="417" builtinId="9" hidden="1"/>
    <cellStyle name="Открывавшаяся гиперссылка" xfId="419" builtinId="9" hidden="1"/>
    <cellStyle name="Открывавшаяся гиперссылка" xfId="421" builtinId="9" hidden="1"/>
    <cellStyle name="Открывавшаяся гиперссылка" xfId="423" builtinId="9" hidden="1"/>
    <cellStyle name="Открывавшаяся гиперссылка" xfId="425" builtinId="9" hidden="1"/>
    <cellStyle name="Открывавшаяся гиперссылка" xfId="427" builtinId="9" hidden="1"/>
    <cellStyle name="Открывавшаяся гиперссылка" xfId="429" builtinId="9" hidden="1"/>
    <cellStyle name="Открывавшаяся гиперссылка" xfId="431" builtinId="9" hidden="1"/>
    <cellStyle name="Открывавшаяся гиперссылка" xfId="433" builtinId="9" hidden="1"/>
    <cellStyle name="Открывавшаяся гиперссылка" xfId="435" builtinId="9" hidden="1"/>
    <cellStyle name="Открывавшаяся гиперссылка" xfId="437" builtinId="9" hidden="1"/>
    <cellStyle name="Открывавшаяся гиперссылка" xfId="439" builtinId="9" hidden="1"/>
    <cellStyle name="Открывавшаяся гиперссылка" xfId="441" builtinId="9" hidden="1"/>
    <cellStyle name="Открывавшаяся гиперссылка" xfId="443" builtinId="9" hidden="1"/>
    <cellStyle name="Открывавшаяся гиперссылка" xfId="445" builtinId="9" hidden="1"/>
    <cellStyle name="Открывавшаяся гиперссылка" xfId="447" builtinId="9" hidden="1"/>
    <cellStyle name="Открывавшаяся гиперссылка" xfId="449" builtinId="9" hidden="1"/>
    <cellStyle name="Открывавшаяся гиперссылка" xfId="451" builtinId="9" hidden="1"/>
    <cellStyle name="Открывавшаяся гиперссылка" xfId="453" builtinId="9" hidden="1"/>
    <cellStyle name="Открывавшаяся гиперссылка" xfId="455" builtinId="9" hidden="1"/>
    <cellStyle name="Открывавшаяся гиперссылка" xfId="457" builtinId="9" hidden="1"/>
    <cellStyle name="Открывавшаяся гиперссылка" xfId="459" builtinId="9" hidden="1"/>
    <cellStyle name="Открывавшаяся гиперссылка" xfId="461" builtinId="9" hidden="1"/>
    <cellStyle name="Открывавшаяся гиперссылка" xfId="463" builtinId="9" hidden="1"/>
    <cellStyle name="Открывавшаяся гиперссылка" xfId="465" builtinId="9" hidden="1"/>
    <cellStyle name="Открывавшаяся гиперссылка" xfId="467" builtinId="9" hidden="1"/>
    <cellStyle name="Открывавшаяся гиперссылка" xfId="469" builtinId="9" hidden="1"/>
    <cellStyle name="Открывавшаяся гиперссылка" xfId="471" builtinId="9" hidden="1"/>
    <cellStyle name="Открывавшаяся гиперссылка" xfId="473" builtinId="9" hidden="1"/>
    <cellStyle name="Открывавшаяся гиперссылка" xfId="475" builtinId="9" hidden="1"/>
    <cellStyle name="Открывавшаяся гиперссылка" xfId="477" builtinId="9" hidden="1"/>
    <cellStyle name="Открывавшаяся гиперссылка" xfId="479" builtinId="9" hidden="1"/>
    <cellStyle name="Открывавшаяся гиперссылка" xfId="481" builtinId="9" hidden="1"/>
    <cellStyle name="Открывавшаяся гиперссылка" xfId="483" builtinId="9" hidden="1"/>
    <cellStyle name="Открывавшаяся гиперссылка" xfId="485" builtinId="9" hidden="1"/>
    <cellStyle name="Открывавшаяся гиперссылка" xfId="487" builtinId="9" hidden="1"/>
    <cellStyle name="Открывавшаяся гиперссылка" xfId="489" builtinId="9" hidden="1"/>
    <cellStyle name="Открывавшаяся гиперссылка" xfId="491" builtinId="9" hidden="1"/>
    <cellStyle name="Открывавшаяся гиперссылка" xfId="493" builtinId="9" hidden="1"/>
    <cellStyle name="Открывавшаяся гиперссылка" xfId="495" builtinId="9" hidden="1"/>
    <cellStyle name="Открывавшаяся гиперссылка" xfId="497" builtinId="9" hidden="1"/>
    <cellStyle name="Открывавшаяся гиперссылка" xfId="499" builtinId="9" hidden="1"/>
    <cellStyle name="Открывавшаяся гиперссылка" xfId="501" builtinId="9" hidden="1"/>
    <cellStyle name="Открывавшаяся гиперссылка" xfId="503" builtinId="9" hidden="1"/>
    <cellStyle name="Открывавшаяся гиперссылка" xfId="505" builtinId="9" hidden="1"/>
    <cellStyle name="Открывавшаяся гиперссылка" xfId="507" builtinId="9" hidden="1"/>
    <cellStyle name="Открывавшаяся гиперссылка" xfId="509" builtinId="9" hidden="1"/>
    <cellStyle name="Открывавшаяся гиперссылка" xfId="511" builtinId="9" hidden="1"/>
    <cellStyle name="Открывавшаяся гиперссылка" xfId="513" builtinId="9" hidden="1"/>
    <cellStyle name="Открывавшаяся гиперссылка" xfId="515" builtinId="9" hidden="1"/>
    <cellStyle name="Открывавшаяся гиперссылка" xfId="517" builtinId="9" hidden="1"/>
    <cellStyle name="Открывавшаяся гиперссылка" xfId="519" builtinId="9" hidden="1"/>
    <cellStyle name="Открывавшаяся гиперссылка" xfId="521" builtinId="9" hidden="1"/>
    <cellStyle name="Открывавшаяся гиперссылка" xfId="523" builtinId="9" hidden="1"/>
    <cellStyle name="Открывавшаяся гиперссылка" xfId="525" builtinId="9" hidden="1"/>
    <cellStyle name="Открывавшаяся гиперссылка" xfId="527" builtinId="9" hidden="1"/>
    <cellStyle name="Открывавшаяся гиперссылка" xfId="529" builtinId="9" hidden="1"/>
    <cellStyle name="Открывавшаяся гиперссылка" xfId="531" builtinId="9" hidden="1"/>
    <cellStyle name="Открывавшаяся гиперссылка" xfId="533" builtinId="9" hidden="1"/>
    <cellStyle name="Открывавшаяся гиперссылка" xfId="535" builtinId="9" hidden="1"/>
    <cellStyle name="Открывавшаяся гиперссылка" xfId="537" builtinId="9" hidden="1"/>
    <cellStyle name="Открывавшаяся гиперссылка" xfId="539" builtinId="9" hidden="1"/>
    <cellStyle name="Открывавшаяся гиперссылка" xfId="541" builtinId="9" hidden="1"/>
    <cellStyle name="Открывавшаяся гиперссылка" xfId="543" builtinId="9" hidden="1"/>
    <cellStyle name="Открывавшаяся гиперссылка" xfId="545" builtinId="9" hidden="1"/>
    <cellStyle name="Открывавшаяся гиперссылка" xfId="547" builtinId="9" hidden="1"/>
    <cellStyle name="Открывавшаяся гиперссылка" xfId="549" builtinId="9" hidden="1"/>
    <cellStyle name="Открывавшаяся гиперссылка" xfId="551" builtinId="9" hidden="1"/>
    <cellStyle name="Открывавшаяся гиперссылка" xfId="553" builtinId="9" hidden="1"/>
    <cellStyle name="Открывавшаяся гиперссылка" xfId="555" builtinId="9" hidden="1"/>
    <cellStyle name="Открывавшаяся гиперссылка" xfId="557" builtinId="9" hidden="1"/>
    <cellStyle name="Открывавшаяся гиперссылка" xfId="559" builtinId="9" hidden="1"/>
    <cellStyle name="Открывавшаяся гиперссылка" xfId="561" builtinId="9" hidden="1"/>
    <cellStyle name="Открывавшаяся гиперссылка" xfId="563" builtinId="9" hidden="1"/>
    <cellStyle name="Открывавшаяся гиперссылка" xfId="565" builtinId="9" hidden="1"/>
    <cellStyle name="Открывавшаяся гиперссылка" xfId="567" builtinId="9" hidden="1"/>
    <cellStyle name="Открывавшаяся гиперссылка" xfId="569" builtinId="9" hidden="1"/>
    <cellStyle name="Открывавшаяся гиперссылка" xfId="571" builtinId="9" hidden="1"/>
    <cellStyle name="Открывавшаяся гиперссылка" xfId="573" builtinId="9" hidden="1"/>
    <cellStyle name="Открывавшаяся гиперссылка" xfId="575" builtinId="9" hidden="1"/>
    <cellStyle name="Открывавшаяся гиперссылка" xfId="577" builtinId="9" hidden="1"/>
    <cellStyle name="Открывавшаяся гиперссылка" xfId="579" builtinId="9" hidden="1"/>
    <cellStyle name="Открывавшаяся гиперссылка" xfId="581" builtinId="9" hidden="1"/>
    <cellStyle name="Открывавшаяся гиперссылка" xfId="583" builtinId="9" hidden="1"/>
    <cellStyle name="Открывавшаяся гиперссылка" xfId="585" builtinId="9" hidden="1"/>
    <cellStyle name="Открывавшаяся гиперссылка" xfId="587" builtinId="9" hidden="1"/>
    <cellStyle name="Открывавшаяся гиперссылка" xfId="589" builtinId="9" hidden="1"/>
    <cellStyle name="Открывавшаяся гиперссылка" xfId="591" builtinId="9" hidden="1"/>
    <cellStyle name="Открывавшаяся гиперссылка" xfId="593" builtinId="9" hidden="1"/>
    <cellStyle name="Открывавшаяся гиперссылка" xfId="595" builtinId="9" hidden="1"/>
    <cellStyle name="Открывавшаяся гиперссылка" xfId="597" builtinId="9" hidden="1"/>
    <cellStyle name="Открывавшаяся гиперссылка" xfId="599" builtinId="9" hidden="1"/>
    <cellStyle name="Открывавшаяся гиперссылка" xfId="601" builtinId="9" hidden="1"/>
    <cellStyle name="Открывавшаяся гиперссылка" xfId="603" builtinId="9" hidden="1"/>
    <cellStyle name="Открывавшаяся гиперссылка" xfId="605" builtinId="9" hidden="1"/>
    <cellStyle name="Открывавшаяся гиперссылка" xfId="607" builtinId="9" hidden="1"/>
    <cellStyle name="Открывавшаяся гиперссылка" xfId="609" builtinId="9" hidden="1"/>
    <cellStyle name="Открывавшаяся гиперссылка" xfId="611" builtinId="9" hidden="1"/>
    <cellStyle name="Открывавшаяся гиперссылка" xfId="613" builtinId="9" hidden="1"/>
    <cellStyle name="Открывавшаяся гиперссылка" xfId="615" builtinId="9" hidden="1"/>
    <cellStyle name="Открывавшаяся гиперссылка" xfId="617" builtinId="9" hidden="1"/>
    <cellStyle name="Открывавшаяся гиперссылка" xfId="619" builtinId="9" hidden="1"/>
    <cellStyle name="Открывавшаяся гиперссылка" xfId="621" builtinId="9" hidden="1"/>
    <cellStyle name="Открывавшаяся гиперссылка" xfId="623" builtinId="9" hidden="1"/>
    <cellStyle name="Открывавшаяся гиперссылка" xfId="625" builtinId="9" hidden="1"/>
    <cellStyle name="Открывавшаяся гиперссылка" xfId="627" builtinId="9" hidden="1"/>
    <cellStyle name="Открывавшаяся гиперссылка" xfId="629" builtinId="9" hidden="1"/>
    <cellStyle name="Открывавшаяся гиперссылка" xfId="631" builtinId="9" hidden="1"/>
    <cellStyle name="Открывавшаяся гиперссылка" xfId="633" builtinId="9" hidden="1"/>
    <cellStyle name="Открывавшаяся гиперссылка" xfId="635" builtinId="9" hidden="1"/>
    <cellStyle name="Открывавшаяся гиперссылка" xfId="637" builtinId="9" hidden="1"/>
    <cellStyle name="Открывавшаяся гиперссылка" xfId="639" builtinId="9" hidden="1"/>
    <cellStyle name="Открывавшаяся гиперссылка" xfId="641" builtinId="9" hidden="1"/>
    <cellStyle name="Открывавшаяся гиперссылка" xfId="643" builtinId="9" hidden="1"/>
    <cellStyle name="Открывавшаяся гиперссылка" xfId="645" builtinId="9" hidden="1"/>
    <cellStyle name="Открывавшаяся гиперссылка" xfId="647" builtinId="9" hidden="1"/>
    <cellStyle name="Открывавшаяся гиперссылка" xfId="649" builtinId="9" hidden="1"/>
    <cellStyle name="Открывавшаяся гиперссылка" xfId="651" builtinId="9" hidden="1"/>
    <cellStyle name="Открывавшаяся гиперссылка" xfId="653" builtinId="9" hidden="1"/>
    <cellStyle name="Открывавшаяся гиперссылка" xfId="655" builtinId="9" hidden="1"/>
    <cellStyle name="Открывавшаяся гиперссылка" xfId="657" builtinId="9" hidden="1"/>
    <cellStyle name="Открывавшаяся гиперссылка" xfId="659" builtinId="9" hidden="1"/>
    <cellStyle name="Открывавшаяся гиперссылка" xfId="661" builtinId="9" hidden="1"/>
    <cellStyle name="Открывавшаяся гиперссылка" xfId="663" builtinId="9" hidden="1"/>
    <cellStyle name="Открывавшаяся гиперссылка" xfId="665" builtinId="9" hidden="1"/>
    <cellStyle name="Открывавшаяся гиперссылка" xfId="667" builtinId="9" hidden="1"/>
    <cellStyle name="Открывавшаяся гиперссылка" xfId="669" builtinId="9" hidden="1"/>
    <cellStyle name="Открывавшаяся гиперссылка" xfId="671" builtinId="9" hidden="1"/>
    <cellStyle name="Открывавшаяся гиперссылка" xfId="673" builtinId="9" hidden="1"/>
    <cellStyle name="Открывавшаяся гиперссылка" xfId="675" builtinId="9" hidden="1"/>
    <cellStyle name="Открывавшаяся гиперссылка" xfId="677" builtinId="9" hidden="1"/>
    <cellStyle name="Открывавшаяся гиперссылка" xfId="679" builtinId="9" hidden="1"/>
    <cellStyle name="Открывавшаяся гиперссылка" xfId="681" builtinId="9" hidden="1"/>
    <cellStyle name="Открывавшаяся гиперссылка" xfId="683" builtinId="9" hidden="1"/>
    <cellStyle name="Открывавшаяся гиперссылка" xfId="685" builtinId="9" hidden="1"/>
    <cellStyle name="Открывавшаяся гиперссылка" xfId="687" builtinId="9" hidden="1"/>
    <cellStyle name="Открывавшаяся гиперссылка" xfId="689" builtinId="9" hidden="1"/>
    <cellStyle name="Открывавшаяся гиперссылка" xfId="691" builtinId="9" hidden="1"/>
    <cellStyle name="Открывавшаяся гиперссылка" xfId="693" builtinId="9" hidden="1"/>
    <cellStyle name="Открывавшаяся гиперссылка" xfId="695" builtinId="9" hidden="1"/>
    <cellStyle name="Открывавшаяся гиперссылка" xfId="697" builtinId="9" hidden="1"/>
    <cellStyle name="Открывавшаяся гиперссылка" xfId="699" builtinId="9" hidden="1"/>
    <cellStyle name="Открывавшаяся гиперссылка" xfId="701" builtinId="9" hidden="1"/>
    <cellStyle name="Открывавшаяся гиперссылка" xfId="703" builtinId="9" hidden="1"/>
    <cellStyle name="Открывавшаяся гиперссылка" xfId="705" builtinId="9" hidden="1"/>
    <cellStyle name="Открывавшаяся гиперссылка" xfId="707" builtinId="9" hidden="1"/>
    <cellStyle name="Открывавшаяся гиперссылка" xfId="709" builtinId="9" hidden="1"/>
    <cellStyle name="Открывавшаяся гиперссылка" xfId="711" builtinId="9" hidden="1"/>
    <cellStyle name="Открывавшаяся гиперссылка" xfId="713" builtinId="9" hidden="1"/>
    <cellStyle name="Открывавшаяся гиперссылка" xfId="715" builtinId="9" hidden="1"/>
    <cellStyle name="Открывавшаяся гиперссылка" xfId="717" builtinId="9" hidden="1"/>
    <cellStyle name="Открывавшаяся гиперссылка" xfId="719" builtinId="9" hidden="1"/>
    <cellStyle name="Открывавшаяся гиперссылка" xfId="721" builtinId="9" hidden="1"/>
    <cellStyle name="Открывавшаяся гиперссылка" xfId="723" builtinId="9" hidden="1"/>
    <cellStyle name="Открывавшаяся гиперссылка" xfId="725" builtinId="9" hidden="1"/>
    <cellStyle name="Открывавшаяся гиперссылка" xfId="727" builtinId="9" hidden="1"/>
    <cellStyle name="Открывавшаяся гиперссылка" xfId="729" builtinId="9" hidden="1"/>
    <cellStyle name="Открывавшаяся гиперссылка" xfId="731" builtinId="9" hidden="1"/>
    <cellStyle name="Открывавшаяся гиперссылка" xfId="733" builtinId="9" hidden="1"/>
    <cellStyle name="Открывавшаяся гиперссылка" xfId="735" builtinId="9" hidden="1"/>
    <cellStyle name="Открывавшаяся гиперссылка" xfId="737" builtinId="9" hidden="1"/>
    <cellStyle name="Открывавшаяся гиперссылка" xfId="739" builtinId="9" hidden="1"/>
    <cellStyle name="Открывавшаяся гиперссылка" xfId="741" builtinId="9" hidden="1"/>
    <cellStyle name="Открывавшаяся гиперссылка" xfId="743" builtinId="9" hidden="1"/>
    <cellStyle name="Открывавшаяся гиперссылка" xfId="745" builtinId="9" hidden="1"/>
    <cellStyle name="Открывавшаяся гиперссылка" xfId="747" builtinId="9" hidden="1"/>
    <cellStyle name="Открывавшаяся гиперссылка" xfId="749" builtinId="9" hidden="1"/>
    <cellStyle name="Открывавшаяся гиперссылка" xfId="751" builtinId="9" hidden="1"/>
    <cellStyle name="Открывавшаяся гиперссылка" xfId="753" builtinId="9" hidden="1"/>
    <cellStyle name="Открывавшаяся гиперссылка" xfId="755" builtinId="9" hidden="1"/>
    <cellStyle name="Открывавшаяся гиперссылка" xfId="757" builtinId="9" hidden="1"/>
    <cellStyle name="Открывавшаяся гиперссылка" xfId="759" builtinId="9" hidden="1"/>
    <cellStyle name="Открывавшаяся гиперссылка" xfId="761" builtinId="9" hidden="1"/>
    <cellStyle name="Открывавшаяся гиперссылка" xfId="763" builtinId="9" hidden="1"/>
    <cellStyle name="Открывавшаяся гиперссылка" xfId="765" builtinId="9" hidden="1"/>
    <cellStyle name="Открывавшаяся гиперссылка" xfId="767" builtinId="9" hidden="1"/>
    <cellStyle name="Открывавшаяся гиперссылка" xfId="769" builtinId="9" hidden="1"/>
    <cellStyle name="Открывавшаяся гиперссылка" xfId="771" builtinId="9" hidden="1"/>
    <cellStyle name="Открывавшаяся гиперссылка" xfId="773" builtinId="9" hidden="1"/>
    <cellStyle name="Открывавшаяся гиперссылка" xfId="775" builtinId="9" hidden="1"/>
    <cellStyle name="Открывавшаяся гиперссылка" xfId="777" builtinId="9" hidden="1"/>
    <cellStyle name="Открывавшаяся гиперссылка" xfId="779" builtinId="9" hidden="1"/>
    <cellStyle name="Открывавшаяся гиперссылка" xfId="781" builtinId="9" hidden="1"/>
    <cellStyle name="Открывавшаяся гиперссылка" xfId="783" builtinId="9" hidden="1"/>
    <cellStyle name="Открывавшаяся гиперссылка" xfId="785" builtinId="9" hidden="1"/>
    <cellStyle name="Открывавшаяся гиперссылка" xfId="787" builtinId="9" hidden="1"/>
    <cellStyle name="Открывавшаяся гиперссылка" xfId="789" builtinId="9" hidden="1"/>
    <cellStyle name="Открывавшаяся гиперссылка" xfId="791" builtinId="9" hidden="1"/>
    <cellStyle name="Открывавшаяся гиперссылка" xfId="793" builtinId="9" hidden="1"/>
    <cellStyle name="Открывавшаяся гиперссылка" xfId="795" builtinId="9" hidden="1"/>
    <cellStyle name="Открывавшаяся гиперссылка" xfId="797" builtinId="9" hidden="1"/>
    <cellStyle name="Открывавшаяся гиперссылка" xfId="799" builtinId="9" hidden="1"/>
    <cellStyle name="Открывавшаяся гиперссылка" xfId="801" builtinId="9" hidden="1"/>
    <cellStyle name="Открывавшаяся гиперссылка" xfId="803" builtinId="9" hidden="1"/>
    <cellStyle name="Открывавшаяся гиперссылка" xfId="805" builtinId="9" hidden="1"/>
    <cellStyle name="Открывавшаяся гиперссылка" xfId="807" builtinId="9" hidden="1"/>
    <cellStyle name="Открывавшаяся гиперссылка" xfId="809" builtinId="9" hidden="1"/>
    <cellStyle name="Открывавшаяся гиперссылка" xfId="811" builtinId="9" hidden="1"/>
    <cellStyle name="Открывавшаяся гиперссылка" xfId="813" builtinId="9" hidden="1"/>
    <cellStyle name="Открывавшаяся гиперссылка" xfId="815" builtinId="9" hidden="1"/>
    <cellStyle name="Открывавшаяся гиперссылка" xfId="817" builtinId="9" hidden="1"/>
    <cellStyle name="Открывавшаяся гиперссылка" xfId="819" builtinId="9" hidden="1"/>
    <cellStyle name="Открывавшаяся гиперссылка" xfId="821" builtinId="9" hidden="1"/>
    <cellStyle name="Открывавшаяся гиперссылка" xfId="823" builtinId="9" hidden="1"/>
    <cellStyle name="Открывавшаяся гиперссылка" xfId="825" builtinId="9" hidden="1"/>
    <cellStyle name="Открывавшаяся гиперссылка" xfId="827" builtinId="9" hidden="1"/>
    <cellStyle name="Открывавшаяся гиперссылка" xfId="829" builtinId="9" hidden="1"/>
    <cellStyle name="Открывавшаяся гиперссылка" xfId="831" builtinId="9" hidden="1"/>
    <cellStyle name="Открывавшаяся гиперссылка" xfId="833" builtinId="9" hidden="1"/>
    <cellStyle name="Открывавшаяся гиперссылка" xfId="835" builtinId="9" hidden="1"/>
    <cellStyle name="Открывавшаяся гиперссылка" xfId="837" builtinId="9" hidden="1"/>
    <cellStyle name="Открывавшаяся гиперссылка" xfId="839" builtinId="9" hidden="1"/>
    <cellStyle name="Открывавшаяся гиперссылка" xfId="841" builtinId="9" hidden="1"/>
    <cellStyle name="Открывавшаяся гиперссылка" xfId="843" builtinId="9" hidden="1"/>
    <cellStyle name="Открывавшаяся гиперссылка" xfId="845" builtinId="9" hidden="1"/>
    <cellStyle name="Открывавшаяся гиперссылка" xfId="847" builtinId="9" hidden="1"/>
    <cellStyle name="Открывавшаяся гиперссылка" xfId="849" builtinId="9" hidden="1"/>
    <cellStyle name="Открывавшаяся гиперссылка" xfId="851" builtinId="9" hidden="1"/>
    <cellStyle name="Открывавшаяся гиперссылка" xfId="853" builtinId="9" hidden="1"/>
    <cellStyle name="Открывавшаяся гиперссылка" xfId="855" builtinId="9" hidden="1"/>
    <cellStyle name="Открывавшаяся гиперссылка" xfId="857" builtinId="9" hidden="1"/>
    <cellStyle name="Открывавшаяся гиперссылка" xfId="859" builtinId="9" hidden="1"/>
    <cellStyle name="Открывавшаяся гиперссылка" xfId="861" builtinId="9" hidden="1"/>
    <cellStyle name="Открывавшаяся гиперссылка" xfId="863" builtinId="9" hidden="1"/>
    <cellStyle name="Открывавшаяся гиперссылка" xfId="865" builtinId="9" hidden="1"/>
    <cellStyle name="Открывавшаяся гиперссылка" xfId="867" builtinId="9" hidden="1"/>
    <cellStyle name="Открывавшаяся гиперссылка" xfId="869" builtinId="9" hidden="1"/>
    <cellStyle name="Открывавшаяся гиперссылка" xfId="871" builtinId="9" hidden="1"/>
    <cellStyle name="Открывавшаяся гиперссылка" xfId="873" builtinId="9" hidden="1"/>
    <cellStyle name="Открывавшаяся гиперссылка" xfId="875" builtinId="9" hidden="1"/>
    <cellStyle name="Открывавшаяся гиперссылка" xfId="877" builtinId="9" hidden="1"/>
    <cellStyle name="Открывавшаяся гиперссылка" xfId="879" builtinId="9" hidden="1"/>
    <cellStyle name="Открывавшаяся гиперссылка" xfId="881" builtinId="9" hidden="1"/>
    <cellStyle name="Открывавшаяся гиперссылка" xfId="883" builtinId="9" hidden="1"/>
    <cellStyle name="Открывавшаяся гиперссылка" xfId="885" builtinId="9" hidden="1"/>
    <cellStyle name="Открывавшаяся гиперссылка" xfId="887" builtinId="9" hidden="1"/>
    <cellStyle name="Открывавшаяся гиперссылка" xfId="889" builtinId="9" hidden="1"/>
    <cellStyle name="Открывавшаяся гиперссылка" xfId="891" builtinId="9" hidden="1"/>
    <cellStyle name="Открывавшаяся гиперссылка" xfId="893" builtinId="9" hidden="1"/>
    <cellStyle name="Открывавшаяся гиперссылка" xfId="895" builtinId="9" hidden="1"/>
    <cellStyle name="Открывавшаяся гиперссылка" xfId="897" builtinId="9" hidden="1"/>
    <cellStyle name="Открывавшаяся гиперссылка" xfId="899" builtinId="9" hidden="1"/>
    <cellStyle name="Открывавшаяся гиперссылка" xfId="901" builtinId="9" hidden="1"/>
    <cellStyle name="Открывавшаяся гиперссылка" xfId="903" builtinId="9" hidden="1"/>
    <cellStyle name="Открывавшаяся гиперссылка" xfId="905" builtinId="9" hidden="1"/>
    <cellStyle name="Открывавшаяся гиперссылка" xfId="907" builtinId="9" hidden="1"/>
    <cellStyle name="Открывавшаяся гиперссылка" xfId="909" builtinId="9" hidden="1"/>
    <cellStyle name="Открывавшаяся гиперссылка" xfId="911" builtinId="9" hidden="1"/>
    <cellStyle name="Открывавшаяся гиперссылка" xfId="913" builtinId="9" hidden="1"/>
    <cellStyle name="Открывавшаяся гиперссылка" xfId="915" builtinId="9" hidden="1"/>
    <cellStyle name="Открывавшаяся гиперссылка" xfId="917" builtinId="9" hidden="1"/>
    <cellStyle name="Открывавшаяся гиперссылка" xfId="919" builtinId="9" hidden="1"/>
    <cellStyle name="Открывавшаяся гиперссылка" xfId="921" builtinId="9" hidden="1"/>
    <cellStyle name="Открывавшаяся гиперссылка" xfId="923" builtinId="9" hidden="1"/>
    <cellStyle name="Открывавшаяся гиперссылка" xfId="925" builtinId="9" hidden="1"/>
    <cellStyle name="Открывавшаяся гиперссылка" xfId="927" builtinId="9" hidden="1"/>
    <cellStyle name="Открывавшаяся гиперссылка" xfId="929" builtinId="9" hidden="1"/>
    <cellStyle name="Открывавшаяся гиперссылка" xfId="931" builtinId="9" hidden="1"/>
    <cellStyle name="Открывавшаяся гиперссылка" xfId="933" builtinId="9" hidden="1"/>
    <cellStyle name="Открывавшаяся гиперссылка" xfId="935" builtinId="9" hidden="1"/>
    <cellStyle name="Открывавшаяся гиперссылка" xfId="937" builtinId="9" hidden="1"/>
    <cellStyle name="Открывавшаяся гиперссылка" xfId="939" builtinId="9" hidden="1"/>
    <cellStyle name="Открывавшаяся гиперссылка" xfId="941" builtinId="9" hidden="1"/>
    <cellStyle name="Открывавшаяся гиперссылка" xfId="943" builtinId="9" hidden="1"/>
    <cellStyle name="Открывавшаяся гиперссылка" xfId="945" builtinId="9" hidden="1"/>
    <cellStyle name="Открывавшаяся гиперссылка" xfId="947" builtinId="9" hidden="1"/>
    <cellStyle name="Открывавшаяся гиперссылка" xfId="949" builtinId="9" hidden="1"/>
    <cellStyle name="Открывавшаяся гиперссылка" xfId="951" builtinId="9" hidden="1"/>
    <cellStyle name="Открывавшаяся гиперссылка" xfId="953" builtinId="9" hidden="1"/>
    <cellStyle name="Открывавшаяся гиперссылка" xfId="955" builtinId="9" hidden="1"/>
    <cellStyle name="Открывавшаяся гиперссылка" xfId="957" builtinId="9" hidden="1"/>
    <cellStyle name="Открывавшаяся гиперссылка" xfId="959" builtinId="9" hidden="1"/>
    <cellStyle name="Открывавшаяся гиперссылка" xfId="961" builtinId="9" hidden="1"/>
    <cellStyle name="Открывавшаяся гиперссылка" xfId="963" builtinId="9" hidden="1"/>
    <cellStyle name="Открывавшаяся гиперссылка" xfId="965" builtinId="9" hidden="1"/>
    <cellStyle name="Открывавшаяся гиперссылка" xfId="967" builtinId="9" hidden="1"/>
    <cellStyle name="Открывавшаяся гиперссылка" xfId="969" builtinId="9" hidden="1"/>
    <cellStyle name="Открывавшаяся гиперссылка" xfId="971" builtinId="9" hidden="1"/>
    <cellStyle name="Открывавшаяся гиперссылка" xfId="973" builtinId="9" hidden="1"/>
    <cellStyle name="Открывавшаяся гиперссылка" xfId="975" builtinId="9" hidden="1"/>
    <cellStyle name="Открывавшаяся гиперссылка" xfId="977" builtinId="9" hidden="1"/>
    <cellStyle name="Открывавшаяся гиперссылка" xfId="979" builtinId="9" hidden="1"/>
    <cellStyle name="Открывавшаяся гиперссылка" xfId="981" builtinId="9" hidden="1"/>
    <cellStyle name="Открывавшаяся гиперссылка" xfId="983" builtinId="9" hidden="1"/>
    <cellStyle name="Открывавшаяся гиперссылка" xfId="985" builtinId="9" hidden="1"/>
    <cellStyle name="Открывавшаяся гиперссылка" xfId="987" builtinId="9" hidden="1"/>
    <cellStyle name="Открывавшаяся гиперссылка" xfId="989" builtinId="9" hidden="1"/>
    <cellStyle name="Открывавшаяся гиперссылка" xfId="991" builtinId="9" hidden="1"/>
    <cellStyle name="Открывавшаяся гиперссылка" xfId="993" builtinId="9" hidden="1"/>
    <cellStyle name="Открывавшаяся гиперссылка" xfId="995" builtinId="9" hidden="1"/>
    <cellStyle name="Открывавшаяся гиперссылка" xfId="997" builtinId="9" hidden="1"/>
    <cellStyle name="Открывавшаяся гиперссылка" xfId="999" builtinId="9" hidden="1"/>
    <cellStyle name="Открывавшаяся гиперссылка" xfId="1001" builtinId="9" hidden="1"/>
    <cellStyle name="Открывавшаяся гиперссылка" xfId="1003" builtinId="9" hidden="1"/>
    <cellStyle name="Открывавшаяся гиперссылка" xfId="1005" builtinId="9" hidden="1"/>
    <cellStyle name="Открывавшаяся гиперссылка" xfId="1007" builtinId="9" hidden="1"/>
    <cellStyle name="Открывавшаяся гиперссылка" xfId="1009" builtinId="9" hidden="1"/>
    <cellStyle name="Открывавшаяся гиперссылка" xfId="1011" builtinId="9" hidden="1"/>
    <cellStyle name="Открывавшаяся гиперссылка" xfId="1013" builtinId="9" hidden="1"/>
    <cellStyle name="Открывавшаяся гиперссылка" xfId="1015" builtinId="9" hidden="1"/>
    <cellStyle name="Открывавшаяся гиперссылка" xfId="1017" builtinId="9" hidden="1"/>
    <cellStyle name="Открывавшаяся гиперссылка" xfId="1019" builtinId="9" hidden="1"/>
    <cellStyle name="Открывавшаяся гиперссылка" xfId="1021" builtinId="9" hidden="1"/>
    <cellStyle name="Открывавшаяся гиперссылка" xfId="1023" builtinId="9" hidden="1"/>
    <cellStyle name="Открывавшаяся гиперссылка" xfId="1025" builtinId="9" hidden="1"/>
    <cellStyle name="Открывавшаяся гиперссылка" xfId="1027" builtinId="9" hidden="1"/>
    <cellStyle name="Открывавшаяся гиперссылка" xfId="1029" builtinId="9" hidden="1"/>
    <cellStyle name="Открывавшаяся гиперссылка" xfId="1031" builtinId="9" hidden="1"/>
    <cellStyle name="Открывавшаяся гиперссылка" xfId="1033" builtinId="9" hidden="1"/>
    <cellStyle name="Открывавшаяся гиперссылка" xfId="1035" builtinId="9" hidden="1"/>
    <cellStyle name="Открывавшаяся гиперссылка" xfId="1037" builtinId="9" hidden="1"/>
    <cellStyle name="Открывавшаяся гиперссылка" xfId="1039" builtinId="9" hidden="1"/>
    <cellStyle name="Открывавшаяся гиперссылка" xfId="1041" builtinId="9" hidden="1"/>
    <cellStyle name="Открывавшаяся гиперссылка" xfId="1043" builtinId="9" hidden="1"/>
    <cellStyle name="Открывавшаяся гиперссылка" xfId="1045" builtinId="9" hidden="1"/>
    <cellStyle name="Открывавшаяся гиперссылка" xfId="1047" builtinId="9" hidden="1"/>
    <cellStyle name="Открывавшаяся гиперссылка" xfId="1049" builtinId="9" hidden="1"/>
    <cellStyle name="Открывавшаяся гиперссылка" xfId="1051" builtinId="9" hidden="1"/>
    <cellStyle name="Открывавшаяся гиперссылка" xfId="1053" builtinId="9" hidden="1"/>
    <cellStyle name="Открывавшаяся гиперссылка" xfId="1055" builtinId="9" hidden="1"/>
    <cellStyle name="Открывавшаяся гиперссылка" xfId="1057" builtinId="9" hidden="1"/>
    <cellStyle name="Открывавшаяся гиперссылка" xfId="1059" builtinId="9" hidden="1"/>
    <cellStyle name="Открывавшаяся гиперссылка" xfId="1061" builtinId="9" hidden="1"/>
    <cellStyle name="Открывавшаяся гиперссылка" xfId="1063" builtinId="9" hidden="1"/>
    <cellStyle name="Открывавшаяся гиперссылка" xfId="1065" builtinId="9" hidden="1"/>
    <cellStyle name="Открывавшаяся гиперссылка" xfId="1067" builtinId="9" hidden="1"/>
    <cellStyle name="Открывавшаяся гиперссылка" xfId="1069" builtinId="9" hidden="1"/>
    <cellStyle name="Открывавшаяся гиперссылка" xfId="1071" builtinId="9" hidden="1"/>
    <cellStyle name="Открывавшаяся гиперссылка" xfId="1073" builtinId="9" hidden="1"/>
    <cellStyle name="Открывавшаяся гиперссылка" xfId="1075" builtinId="9" hidden="1"/>
    <cellStyle name="Открывавшаяся гиперссылка" xfId="1077" builtinId="9" hidden="1"/>
    <cellStyle name="Открывавшаяся гиперссылка" xfId="1079" builtinId="9" hidden="1"/>
    <cellStyle name="Открывавшаяся гиперссылка" xfId="1081" builtinId="9" hidden="1"/>
    <cellStyle name="Открывавшаяся гиперссылка" xfId="1083" builtinId="9" hidden="1"/>
    <cellStyle name="Открывавшаяся гиперссылка" xfId="1085" builtinId="9" hidden="1"/>
    <cellStyle name="Открывавшаяся гиперссылка" xfId="1087" builtinId="9" hidden="1"/>
    <cellStyle name="Открывавшаяся гиперссылка" xfId="1089" builtinId="9" hidden="1"/>
    <cellStyle name="Открывавшаяся гиперссылка" xfId="1091" builtinId="9" hidden="1"/>
    <cellStyle name="Открывавшаяся гиперссылка" xfId="1093" builtinId="9" hidden="1"/>
    <cellStyle name="Открывавшаяся гиперссылка" xfId="1095" builtinId="9" hidden="1"/>
    <cellStyle name="Открывавшаяся гиперссылка" xfId="1097" builtinId="9" hidden="1"/>
    <cellStyle name="Открывавшаяся гиперссылка" xfId="1099" builtinId="9" hidden="1"/>
    <cellStyle name="Открывавшаяся гиперссылка" xfId="1101" builtinId="9" hidden="1"/>
    <cellStyle name="Открывавшаяся гиперссылка" xfId="1103" builtinId="9" hidden="1"/>
    <cellStyle name="Открывавшаяся гиперссылка" xfId="1105" builtinId="9" hidden="1"/>
    <cellStyle name="Открывавшаяся гиперссылка" xfId="1107" builtinId="9" hidden="1"/>
    <cellStyle name="Открывавшаяся гиперссылка" xfId="1109" builtinId="9" hidden="1"/>
    <cellStyle name="Открывавшаяся гиперссылка" xfId="1111" builtinId="9" hidden="1"/>
    <cellStyle name="Открывавшаяся гиперссылка" xfId="1113" builtinId="9" hidden="1"/>
    <cellStyle name="Открывавшаяся гиперссылка" xfId="1115" builtinId="9" hidden="1"/>
    <cellStyle name="Открывавшаяся гиперссылка" xfId="1117" builtinId="9" hidden="1"/>
    <cellStyle name="Открывавшаяся гиперссылка" xfId="1119" builtinId="9" hidden="1"/>
    <cellStyle name="Открывавшаяся гиперссылка" xfId="1121" builtinId="9" hidden="1"/>
    <cellStyle name="Открывавшаяся гиперссылка" xfId="1123" builtinId="9" hidden="1"/>
    <cellStyle name="Открывавшаяся гиперссылка" xfId="1125" builtinId="9" hidden="1"/>
    <cellStyle name="Открывавшаяся гиперссылка" xfId="1127" builtinId="9" hidden="1"/>
    <cellStyle name="Открывавшаяся гиперссылка" xfId="1129" builtinId="9" hidden="1"/>
    <cellStyle name="Открывавшаяся гиперссылка" xfId="1131" builtinId="9" hidden="1"/>
    <cellStyle name="Открывавшаяся гиперссылка" xfId="1133" builtinId="9" hidden="1"/>
    <cellStyle name="Открывавшаяся гиперссылка" xfId="1135" builtinId="9" hidden="1"/>
    <cellStyle name="Открывавшаяся гиперссылка" xfId="1137" builtinId="9" hidden="1"/>
    <cellStyle name="Открывавшаяся гиперссылка" xfId="1139" builtinId="9" hidden="1"/>
    <cellStyle name="Открывавшаяся гиперссылка" xfId="1141" builtinId="9" hidden="1"/>
    <cellStyle name="Открывавшаяся гиперссылка" xfId="1143" builtinId="9" hidden="1"/>
    <cellStyle name="Открывавшаяся гиперссылка" xfId="1145" builtinId="9" hidden="1"/>
    <cellStyle name="Открывавшаяся гиперссылка" xfId="1147" builtinId="9" hidden="1"/>
    <cellStyle name="Открывавшаяся гиперссылка" xfId="1149" builtinId="9" hidden="1"/>
    <cellStyle name="Открывавшаяся гиперссылка" xfId="1151" builtinId="9" hidden="1"/>
    <cellStyle name="Открывавшаяся гиперссылка" xfId="1153" builtinId="9" hidden="1"/>
    <cellStyle name="Открывавшаяся гиперссылка" xfId="1155" builtinId="9" hidden="1"/>
    <cellStyle name="Открывавшаяся гиперссылка" xfId="1157" builtinId="9" hidden="1"/>
    <cellStyle name="Открывавшаяся гиперссылка" xfId="1159" builtinId="9" hidden="1"/>
    <cellStyle name="Открывавшаяся гиперссылка" xfId="1161" builtinId="9" hidden="1"/>
    <cellStyle name="Открывавшаяся гиперссылка" xfId="1163" builtinId="9" hidden="1"/>
    <cellStyle name="Открывавшаяся гиперссылка" xfId="1165" builtinId="9" hidden="1"/>
    <cellStyle name="Открывавшаяся гиперссылка" xfId="1167" builtinId="9" hidden="1"/>
    <cellStyle name="Открывавшаяся гиперссылка" xfId="1169" builtinId="9" hidden="1"/>
    <cellStyle name="Открывавшаяся гиперссылка" xfId="1171" builtinId="9" hidden="1"/>
    <cellStyle name="Открывавшаяся гиперссылка" xfId="1173" builtinId="9" hidden="1"/>
    <cellStyle name="Открывавшаяся гиперссылка" xfId="1175" builtinId="9" hidden="1"/>
    <cellStyle name="Открывавшаяся гиперссылка" xfId="1177" builtinId="9" hidden="1"/>
    <cellStyle name="Открывавшаяся гиперссылка" xfId="1179" builtinId="9" hidden="1"/>
    <cellStyle name="Открывавшаяся гиперссылка" xfId="1181" builtinId="9" hidden="1"/>
    <cellStyle name="Открывавшаяся гиперссылка" xfId="1183" builtinId="9" hidden="1"/>
    <cellStyle name="Открывавшаяся гиперссылка" xfId="1185" builtinId="9" hidden="1"/>
    <cellStyle name="Открывавшаяся гиперссылка" xfId="1187" builtinId="9" hidden="1"/>
    <cellStyle name="Открывавшаяся гиперссылка" xfId="1189" builtinId="9" hidden="1"/>
    <cellStyle name="Открывавшаяся гиперссылка" xfId="1191" builtinId="9" hidden="1"/>
    <cellStyle name="Открывавшаяся гиперссылка" xfId="1193" builtinId="9" hidden="1"/>
    <cellStyle name="Открывавшаяся гиперссылка" xfId="1195" builtinId="9" hidden="1"/>
    <cellStyle name="Открывавшаяся гиперссылка" xfId="1197" builtinId="9" hidden="1"/>
    <cellStyle name="Открывавшаяся гиперссылка" xfId="1199" builtinId="9" hidden="1"/>
    <cellStyle name="Открывавшаяся гиперссылка" xfId="1201" builtinId="9" hidden="1"/>
    <cellStyle name="Открывавшаяся гиперссылка" xfId="1203" builtinId="9" hidden="1"/>
    <cellStyle name="Открывавшаяся гиперссылка" xfId="1205" builtinId="9" hidden="1"/>
    <cellStyle name="Открывавшаяся гиперссылка" xfId="1207" builtinId="9" hidden="1"/>
    <cellStyle name="Открывавшаяся гиперссылка" xfId="1209" builtinId="9" hidden="1"/>
    <cellStyle name="Открывавшаяся гиперссылка" xfId="1211" builtinId="9" hidden="1"/>
    <cellStyle name="Открывавшаяся гиперссылка" xfId="1213" builtinId="9" hidden="1"/>
    <cellStyle name="Открывавшаяся гиперссылка" xfId="1215" builtinId="9" hidden="1"/>
    <cellStyle name="Открывавшаяся гиперссылка" xfId="1217" builtinId="9" hidden="1"/>
    <cellStyle name="Открывавшаяся гиперссылка" xfId="1219" builtinId="9" hidden="1"/>
    <cellStyle name="Открывавшаяся гиперссылка" xfId="1221" builtinId="9" hidden="1"/>
    <cellStyle name="Открывавшаяся гиперссылка" xfId="1223" builtinId="9" hidden="1"/>
    <cellStyle name="Открывавшаяся гиперссылка" xfId="1225" builtinId="9" hidden="1"/>
    <cellStyle name="Открывавшаяся гиперссылка" xfId="1227" builtinId="9" hidden="1"/>
    <cellStyle name="Открывавшаяся гиперссылка" xfId="1229" builtinId="9" hidden="1"/>
    <cellStyle name="Открывавшаяся гиперссылка" xfId="1231" builtinId="9" hidden="1"/>
    <cellStyle name="Открывавшаяся гиперссылка" xfId="1233" builtinId="9" hidden="1"/>
    <cellStyle name="Открывавшаяся гиперссылка" xfId="1235" builtinId="9" hidden="1"/>
    <cellStyle name="Открывавшаяся гиперссылка" xfId="1237" builtinId="9" hidden="1"/>
    <cellStyle name="Открывавшаяся гиперссылка" xfId="1239" builtinId="9" hidden="1"/>
    <cellStyle name="Открывавшаяся гиперссылка" xfId="1241" builtinId="9" hidden="1"/>
    <cellStyle name="Открывавшаяся гиперссылка" xfId="1243" builtinId="9" hidden="1"/>
    <cellStyle name="Открывавшаяся гиперссылка" xfId="1245" builtinId="9" hidden="1"/>
    <cellStyle name="Открывавшаяся гиперссылка" xfId="1247" builtinId="9" hidden="1"/>
    <cellStyle name="Открывавшаяся гиперссылка" xfId="1249" builtinId="9" hidden="1"/>
    <cellStyle name="Открывавшаяся гиперссылка" xfId="1251" builtinId="9" hidden="1"/>
    <cellStyle name="Открывавшаяся гиперссылка" xfId="1253" builtinId="9" hidden="1"/>
    <cellStyle name="Открывавшаяся гиперссылка" xfId="1255" builtinId="9" hidden="1"/>
    <cellStyle name="Открывавшаяся гиперссылка" xfId="1257" builtinId="9" hidden="1"/>
    <cellStyle name="Открывавшаяся гиперссылка" xfId="1259" builtinId="9" hidden="1"/>
    <cellStyle name="Открывавшаяся гиперссылка" xfId="1261" builtinId="9" hidden="1"/>
    <cellStyle name="Открывавшаяся гиперссылка" xfId="1263" builtinId="9" hidden="1"/>
    <cellStyle name="Открывавшаяся гиперссылка" xfId="1265" builtinId="9" hidden="1"/>
    <cellStyle name="Открывавшаяся гиперссылка" xfId="1267" builtinId="9" hidden="1"/>
    <cellStyle name="Открывавшаяся гиперссылка" xfId="1269" builtinId="9" hidden="1"/>
    <cellStyle name="Открывавшаяся гиперссылка" xfId="1271" builtinId="9" hidden="1"/>
    <cellStyle name="Открывавшаяся гиперссылка" xfId="1273" builtinId="9" hidden="1"/>
    <cellStyle name="Открывавшаяся гиперссылка" xfId="1275" builtinId="9" hidden="1"/>
    <cellStyle name="Открывавшаяся гиперссылка" xfId="1277" builtinId="9" hidden="1"/>
    <cellStyle name="Открывавшаяся гиперссылка" xfId="1279" builtinId="9" hidden="1"/>
    <cellStyle name="Открывавшаяся гиперссылка" xfId="1281" builtinId="9" hidden="1"/>
    <cellStyle name="Открывавшаяся гиперссылка" xfId="1283" builtinId="9" hidden="1"/>
    <cellStyle name="Открывавшаяся гиперссылка" xfId="1285" builtinId="9" hidden="1"/>
    <cellStyle name="Открывавшаяся гиперссылка" xfId="1287" builtinId="9" hidden="1"/>
    <cellStyle name="Открывавшаяся гиперссылка" xfId="1289" builtinId="9" hidden="1"/>
    <cellStyle name="Открывавшаяся гиперссылка" xfId="1291" builtinId="9" hidden="1"/>
    <cellStyle name="Открывавшаяся гиперссылка" xfId="1293" builtinId="9" hidden="1"/>
    <cellStyle name="Открывавшаяся гиперссылка" xfId="1295" builtinId="9" hidden="1"/>
    <cellStyle name="Открывавшаяся гиперссылка" xfId="1297" builtinId="9" hidden="1"/>
    <cellStyle name="Открывавшаяся гиперссылка" xfId="1299" builtinId="9" hidden="1"/>
    <cellStyle name="Открывавшаяся гиперссылка" xfId="1301" builtinId="9" hidden="1"/>
    <cellStyle name="Открывавшаяся гиперссылка" xfId="1303" builtinId="9" hidden="1"/>
    <cellStyle name="Открывавшаяся гиперссылка" xfId="1305" builtinId="9" hidden="1"/>
    <cellStyle name="Открывавшаяся гиперссылка" xfId="1307" builtinId="9" hidden="1"/>
    <cellStyle name="Открывавшаяся гиперссылка" xfId="1309" builtinId="9" hidden="1"/>
    <cellStyle name="Открывавшаяся гиперссылка" xfId="1311" builtinId="9" hidden="1"/>
    <cellStyle name="Открывавшаяся гиперссылка" xfId="1313" builtinId="9" hidden="1"/>
    <cellStyle name="Открывавшаяся гиперссылка" xfId="1315" builtinId="9" hidden="1"/>
    <cellStyle name="Открывавшаяся гиперссылка" xfId="1317" builtinId="9" hidden="1"/>
    <cellStyle name="Открывавшаяся гиперссылка" xfId="1319" builtinId="9" hidden="1"/>
    <cellStyle name="Открывавшаяся гиперссылка" xfId="1321" builtinId="9" hidden="1"/>
    <cellStyle name="Открывавшаяся гиперссылка" xfId="1323" builtinId="9" hidden="1"/>
    <cellStyle name="Открывавшаяся гиперссылка" xfId="1325" builtinId="9" hidden="1"/>
    <cellStyle name="Открывавшаяся гиперссылка" xfId="1327" builtinId="9" hidden="1"/>
    <cellStyle name="Открывавшаяся гиперссылка" xfId="1329" builtinId="9" hidden="1"/>
    <cellStyle name="Открывавшаяся гиперссылка" xfId="1331" builtinId="9" hidden="1"/>
    <cellStyle name="Открывавшаяся гиперссылка" xfId="1333" builtinId="9" hidden="1"/>
    <cellStyle name="Открывавшаяся гиперссылка" xfId="1335" builtinId="9" hidden="1"/>
    <cellStyle name="Открывавшаяся гиперссылка" xfId="1337" builtinId="9" hidden="1"/>
    <cellStyle name="Открывавшаяся гиперссылка" xfId="1339" builtinId="9" hidden="1"/>
    <cellStyle name="Открывавшаяся гиперссылка" xfId="1341" builtinId="9" hidden="1"/>
    <cellStyle name="Открывавшаяся гиперссылка" xfId="1343" builtinId="9" hidden="1"/>
    <cellStyle name="Открывавшаяся гиперссылка" xfId="1345" builtinId="9" hidden="1"/>
    <cellStyle name="Открывавшаяся гиперссылка" xfId="1347" builtinId="9" hidden="1"/>
    <cellStyle name="Открывавшаяся гиперссылка" xfId="1349" builtinId="9" hidden="1"/>
    <cellStyle name="Открывавшаяся гиперссылка" xfId="1351" builtinId="9" hidden="1"/>
    <cellStyle name="Открывавшаяся гиперссылка" xfId="1353" builtinId="9" hidden="1"/>
    <cellStyle name="Открывавшаяся гиперссылка" xfId="1355" builtinId="9" hidden="1"/>
    <cellStyle name="Открывавшаяся гиперссылка" xfId="1357" builtinId="9" hidden="1"/>
    <cellStyle name="Открывавшаяся гиперссылка" xfId="1359" builtinId="9" hidden="1"/>
    <cellStyle name="Открывавшаяся гиперссылка" xfId="1361" builtinId="9" hidden="1"/>
    <cellStyle name="Открывавшаяся гиперссылка" xfId="1363" builtinId="9" hidden="1"/>
    <cellStyle name="Открывавшаяся гиперссылка" xfId="1365" builtinId="9" hidden="1"/>
    <cellStyle name="Открывавшаяся гиперссылка" xfId="1367" builtinId="9" hidden="1"/>
    <cellStyle name="Открывавшаяся гиперссылка" xfId="1369" builtinId="9" hidden="1"/>
    <cellStyle name="Открывавшаяся гиперссылка" xfId="1371" builtinId="9" hidden="1"/>
    <cellStyle name="Открывавшаяся гиперссылка" xfId="1373" builtinId="9" hidden="1"/>
    <cellStyle name="Открывавшаяся гиперссылка" xfId="1375" builtinId="9" hidden="1"/>
    <cellStyle name="Открывавшаяся гиперссылка" xfId="1377" builtinId="9" hidden="1"/>
    <cellStyle name="Открывавшаяся гиперссылка" xfId="1379" builtinId="9" hidden="1"/>
    <cellStyle name="Открывавшаяся гиперссылка" xfId="1381" builtinId="9" hidden="1"/>
    <cellStyle name="Открывавшаяся гиперссылка" xfId="1383" builtinId="9" hidden="1"/>
    <cellStyle name="Открывавшаяся гиперссылка" xfId="1385" builtinId="9" hidden="1"/>
    <cellStyle name="Открывавшаяся гиперссылка" xfId="1387" builtinId="9" hidden="1"/>
    <cellStyle name="Открывавшаяся гиперссылка" xfId="1389" builtinId="9" hidden="1"/>
    <cellStyle name="Открывавшаяся гиперссылка" xfId="1391" builtinId="9" hidden="1"/>
    <cellStyle name="Открывавшаяся гиперссылка" xfId="1393" builtinId="9" hidden="1"/>
    <cellStyle name="Открывавшаяся гиперссылка" xfId="1395" builtinId="9" hidden="1"/>
    <cellStyle name="Открывавшаяся гиперссылка" xfId="1397" builtinId="9" hidden="1"/>
    <cellStyle name="Открывавшаяся гиперссылка" xfId="1399" builtinId="9" hidden="1"/>
    <cellStyle name="Открывавшаяся гиперссылка" xfId="1401" builtinId="9" hidden="1"/>
    <cellStyle name="Открывавшаяся гиперссылка" xfId="1403" builtinId="9" hidden="1"/>
    <cellStyle name="Открывавшаяся гиперссылка" xfId="1405" builtinId="9" hidden="1"/>
    <cellStyle name="Открывавшаяся гиперссылка" xfId="1407" builtinId="9" hidden="1"/>
    <cellStyle name="Открывавшаяся гиперссылка" xfId="1409" builtinId="9" hidden="1"/>
    <cellStyle name="Открывавшаяся гиперссылка" xfId="1411" builtinId="9" hidden="1"/>
    <cellStyle name="Открывавшаяся гиперссылка" xfId="1413" builtinId="9" hidden="1"/>
    <cellStyle name="Открывавшаяся гиперссылка" xfId="1415" builtinId="9" hidden="1"/>
    <cellStyle name="Открывавшаяся гиперссылка" xfId="1417" builtinId="9" hidden="1"/>
    <cellStyle name="Открывавшаяся гиперссылка" xfId="1419" builtinId="9" hidden="1"/>
    <cellStyle name="Открывавшаяся гиперссылка" xfId="1421" builtinId="9" hidden="1"/>
    <cellStyle name="Открывавшаяся гиперссылка" xfId="1423" builtinId="9" hidden="1"/>
    <cellStyle name="Открывавшаяся гиперссылка" xfId="1425" builtinId="9" hidden="1"/>
    <cellStyle name="Открывавшаяся гиперссылка" xfId="1427" builtinId="9" hidden="1"/>
    <cellStyle name="Открывавшаяся гиперссылка" xfId="1429" builtinId="9" hidden="1"/>
    <cellStyle name="Открывавшаяся гиперссылка" xfId="1431" builtinId="9" hidden="1"/>
    <cellStyle name="Открывавшаяся гиперссылка" xfId="1433" builtinId="9" hidden="1"/>
    <cellStyle name="Открывавшаяся гиперссылка" xfId="1435" builtinId="9" hidden="1"/>
    <cellStyle name="Открывавшаяся гиперссылка" xfId="1437" builtinId="9" hidden="1"/>
    <cellStyle name="Открывавшаяся гиперссылка" xfId="1439" builtinId="9" hidden="1"/>
    <cellStyle name="Открывавшаяся гиперссылка" xfId="1441" builtinId="9" hidden="1"/>
    <cellStyle name="Открывавшаяся гиперссылка" xfId="1443" builtinId="9" hidden="1"/>
    <cellStyle name="Открывавшаяся гиперссылка" xfId="1445" builtinId="9" hidden="1"/>
    <cellStyle name="Открывавшаяся гиперссылка" xfId="1447" builtinId="9" hidden="1"/>
    <cellStyle name="Открывавшаяся гиперссылка" xfId="1449" builtinId="9" hidden="1"/>
    <cellStyle name="Открывавшаяся гиперссылка" xfId="1451" builtinId="9" hidden="1"/>
    <cellStyle name="Открывавшаяся гиперссылка" xfId="1453" builtinId="9" hidden="1"/>
    <cellStyle name="Открывавшаяся гиперссылка" xfId="1455" builtinId="9" hidden="1"/>
    <cellStyle name="Открывавшаяся гиперссылка" xfId="1457" builtinId="9" hidden="1"/>
    <cellStyle name="Открывавшаяся гиперссылка" xfId="1459" builtinId="9" hidden="1"/>
    <cellStyle name="Открывавшаяся гиперссылка" xfId="1461" builtinId="9" hidden="1"/>
    <cellStyle name="Открывавшаяся гиперссылка" xfId="1463" builtinId="9" hidden="1"/>
    <cellStyle name="Открывавшаяся гиперссылка" xfId="1465" builtinId="9" hidden="1"/>
    <cellStyle name="Открывавшаяся гиперссылка" xfId="1467" builtinId="9" hidden="1"/>
    <cellStyle name="Открывавшаяся гиперссылка" xfId="1470" builtinId="9" hidden="1"/>
    <cellStyle name="Открывавшаяся гиперссылка" xfId="1472" builtinId="9" hidden="1"/>
    <cellStyle name="Открывавшаяся гиперссылка" xfId="1474" builtinId="9" hidden="1"/>
    <cellStyle name="Открывавшаяся гиперссылка" xfId="1476" builtinId="9" hidden="1"/>
    <cellStyle name="Открывавшаяся гиперссылка" xfId="1478" builtinId="9" hidden="1"/>
    <cellStyle name="Открывавшаяся гиперссылка" xfId="1480" builtinId="9" hidden="1"/>
    <cellStyle name="Открывавшаяся гиперссылка" xfId="1482" builtinId="9" hidden="1"/>
    <cellStyle name="Открывавшаяся гиперссылка" xfId="1484" builtinId="9" hidden="1"/>
    <cellStyle name="Открывавшаяся гиперссылка" xfId="1486" builtinId="9" hidden="1"/>
    <cellStyle name="Открывавшаяся гиперссылка" xfId="1488" builtinId="9" hidden="1"/>
    <cellStyle name="Открывавшаяся гиперссылка" xfId="1490" builtinId="9" hidden="1"/>
    <cellStyle name="Открывавшаяся гиперссылка" xfId="1492" builtinId="9" hidden="1"/>
    <cellStyle name="Открывавшаяся гиперссылка" xfId="1494" builtinId="9" hidden="1"/>
    <cellStyle name="Открывавшаяся гиперссылка" xfId="1496" builtinId="9" hidden="1"/>
    <cellStyle name="Открывавшаяся гиперссылка" xfId="1498" builtinId="9" hidden="1"/>
    <cellStyle name="Открывавшаяся гиперссылка" xfId="1500" builtinId="9" hidden="1"/>
    <cellStyle name="Открывавшаяся гиперссылка" xfId="1502" builtinId="9" hidden="1"/>
    <cellStyle name="Открывавшаяся гиперссылка" xfId="1504" builtinId="9" hidden="1"/>
    <cellStyle name="Открывавшаяся гиперссылка" xfId="1506" builtinId="9" hidden="1"/>
    <cellStyle name="Открывавшаяся гиперссылка" xfId="1508" builtinId="9" hidden="1"/>
    <cellStyle name="Открывавшаяся гиперссылка" xfId="1510" builtinId="9" hidden="1"/>
    <cellStyle name="Открывавшаяся гиперссылка" xfId="1512" builtinId="9" hidden="1"/>
    <cellStyle name="Открывавшаяся гиперссылка" xfId="1514" builtinId="9" hidden="1"/>
    <cellStyle name="Открывавшаяся гиперссылка" xfId="1516" builtinId="9" hidden="1"/>
    <cellStyle name="Открывавшаяся гиперссылка" xfId="1518" builtinId="9" hidden="1"/>
    <cellStyle name="Открывавшаяся гиперссылка" xfId="1520" builtinId="9" hidden="1"/>
    <cellStyle name="Открывавшаяся гиперссылка" xfId="1522" builtinId="9" hidden="1"/>
    <cellStyle name="Открывавшаяся гиперссылка" xfId="1524" builtinId="9" hidden="1"/>
    <cellStyle name="Открывавшаяся гиперссылка" xfId="1526" builtinId="9" hidden="1"/>
    <cellStyle name="Открывавшаяся гиперссылка" xfId="1528" builtinId="9" hidden="1"/>
    <cellStyle name="Открывавшаяся гиперссылка" xfId="1530" builtinId="9" hidden="1"/>
    <cellStyle name="Открывавшаяся гиперссылка" xfId="1532" builtinId="9" hidden="1"/>
    <cellStyle name="Открывавшаяся гиперссылка" xfId="1534" builtinId="9" hidden="1"/>
    <cellStyle name="Открывавшаяся гиперссылка" xfId="1536" builtinId="9" hidden="1"/>
    <cellStyle name="Открывавшаяся гиперссылка" xfId="1538" builtinId="9" hidden="1"/>
    <cellStyle name="Открывавшаяся гиперссылка" xfId="1540" builtinId="9" hidden="1"/>
    <cellStyle name="Открывавшаяся гиперссылка" xfId="1542" builtinId="9" hidden="1"/>
    <cellStyle name="Открывавшаяся гиперссылка" xfId="1544" builtinId="9" hidden="1"/>
    <cellStyle name="Открывавшаяся гиперссылка" xfId="1546" builtinId="9" hidden="1"/>
    <cellStyle name="Открывавшаяся гиперссылка" xfId="1548" builtinId="9" hidden="1"/>
    <cellStyle name="Открывавшаяся гиперссылка" xfId="1550" builtinId="9" hidden="1"/>
    <cellStyle name="Открывавшаяся гиперссылка" xfId="1552" builtinId="9" hidden="1"/>
    <cellStyle name="Открывавшаяся гиперссылка" xfId="1554" builtinId="9" hidden="1"/>
    <cellStyle name="Открывавшаяся гиперссылка" xfId="1556" builtinId="9" hidden="1"/>
    <cellStyle name="Открывавшаяся гиперссылка" xfId="1558" builtinId="9" hidden="1"/>
    <cellStyle name="Открывавшаяся гиперссылка" xfId="1560" builtinId="9" hidden="1"/>
    <cellStyle name="Открывавшаяся гиперссылка" xfId="1562" builtinId="9" hidden="1"/>
    <cellStyle name="Открывавшаяся гиперссылка" xfId="1564" builtinId="9" hidden="1"/>
    <cellStyle name="Открывавшаяся гиперссылка" xfId="1566" builtinId="9" hidden="1"/>
    <cellStyle name="Открывавшаяся гиперссылка" xfId="1568" builtinId="9" hidden="1"/>
    <cellStyle name="Открывавшаяся гиперссылка" xfId="1570" builtinId="9" hidden="1"/>
    <cellStyle name="Открывавшаяся гиперссылка" xfId="1572" builtinId="9" hidden="1"/>
    <cellStyle name="Открывавшаяся гиперссылка" xfId="1574" builtinId="9" hidden="1"/>
    <cellStyle name="Открывавшаяся гиперссылка" xfId="1576" builtinId="9" hidden="1"/>
    <cellStyle name="Открывавшаяся гиперссылка" xfId="1578" builtinId="9" hidden="1"/>
    <cellStyle name="Открывавшаяся гиперссылка" xfId="1580" builtinId="9" hidden="1"/>
    <cellStyle name="Открывавшаяся гиперссылка" xfId="1582" builtinId="9" hidden="1"/>
    <cellStyle name="Открывавшаяся гиперссылка" xfId="1584" builtinId="9" hidden="1"/>
    <cellStyle name="Открывавшаяся гиперссылка" xfId="1586" builtinId="9" hidden="1"/>
    <cellStyle name="Открывавшаяся гиперссылка" xfId="1588" builtinId="9" hidden="1"/>
    <cellStyle name="Открывавшаяся гиперссылка" xfId="1590" builtinId="9" hidden="1"/>
    <cellStyle name="Открывавшаяся гиперссылка" xfId="1592" builtinId="9" hidden="1"/>
    <cellStyle name="Открывавшаяся гиперссылка" xfId="1594" builtinId="9" hidden="1"/>
    <cellStyle name="Открывавшаяся гиперссылка" xfId="1596" builtinId="9" hidden="1"/>
    <cellStyle name="Открывавшаяся гиперссылка" xfId="1598" builtinId="9" hidden="1"/>
    <cellStyle name="Открывавшаяся гиперссылка" xfId="1600" builtinId="9" hidden="1"/>
    <cellStyle name="Открывавшаяся гиперссылка" xfId="1602" builtinId="9" hidden="1"/>
    <cellStyle name="Открывавшаяся гиперссылка" xfId="1604" builtinId="9" hidden="1"/>
    <cellStyle name="Открывавшаяся гиперссылка" xfId="1606" builtinId="9" hidden="1"/>
    <cellStyle name="Открывавшаяся гиперссылка" xfId="1608" builtinId="9" hidden="1"/>
    <cellStyle name="Открывавшаяся гиперссылка" xfId="1610" builtinId="9" hidden="1"/>
    <cellStyle name="Открывавшаяся гиперссылка" xfId="1612" builtinId="9" hidden="1"/>
    <cellStyle name="Открывавшаяся гиперссылка" xfId="1614" builtinId="9" hidden="1"/>
    <cellStyle name="Открывавшаяся гиперссылка" xfId="1616" builtinId="9" hidden="1"/>
    <cellStyle name="Открывавшаяся гиперссылка" xfId="1618" builtinId="9" hidden="1"/>
    <cellStyle name="Открывавшаяся гиперссылка" xfId="1620" builtinId="9" hidden="1"/>
    <cellStyle name="Открывавшаяся гиперссылка" xfId="1622" builtinId="9" hidden="1"/>
    <cellStyle name="Открывавшаяся гиперссылка" xfId="1624" builtinId="9" hidden="1"/>
    <cellStyle name="Открывавшаяся гиперссылка" xfId="1626" builtinId="9" hidden="1"/>
    <cellStyle name="Открывавшаяся гиперссылка" xfId="1628" builtinId="9" hidden="1"/>
    <cellStyle name="Открывавшаяся гиперссылка" xfId="1630" builtinId="9" hidden="1"/>
    <cellStyle name="Открывавшаяся гиперссылка" xfId="1632" builtinId="9" hidden="1"/>
    <cellStyle name="Открывавшаяся гиперссылка" xfId="1634" builtinId="9" hidden="1"/>
    <cellStyle name="Открывавшаяся гиперссылка" xfId="1636" builtinId="9" hidden="1"/>
    <cellStyle name="Открывавшаяся гиперссылка" xfId="1638" builtinId="9" hidden="1"/>
    <cellStyle name="Открывавшаяся гиперссылка" xfId="1640" builtinId="9" hidden="1"/>
    <cellStyle name="Открывавшаяся гиперссылка" xfId="1642" builtinId="9" hidden="1"/>
    <cellStyle name="Открывавшаяся гиперссылка" xfId="1644" builtinId="9" hidden="1"/>
    <cellStyle name="Открывавшаяся гиперссылка" xfId="1646" builtinId="9" hidden="1"/>
    <cellStyle name="Открывавшаяся гиперссылка" xfId="1648" builtinId="9" hidden="1"/>
    <cellStyle name="Открывавшаяся гиперссылка" xfId="1650" builtinId="9" hidden="1"/>
    <cellStyle name="Открывавшаяся гиперссылка" xfId="1652" builtinId="9" hidden="1"/>
    <cellStyle name="Открывавшаяся гиперссылка" xfId="1654" builtinId="9" hidden="1"/>
    <cellStyle name="Открывавшаяся гиперссылка" xfId="1656" builtinId="9" hidden="1"/>
    <cellStyle name="Открывавшаяся гиперссылка" xfId="1658" builtinId="9" hidden="1"/>
    <cellStyle name="Открывавшаяся гиперссылка" xfId="1660" builtinId="9" hidden="1"/>
    <cellStyle name="Открывавшаяся гиперссылка" xfId="1662" builtinId="9" hidden="1"/>
    <cellStyle name="Открывавшаяся гиперссылка" xfId="1664" builtinId="9" hidden="1"/>
    <cellStyle name="Открывавшаяся гиперссылка" xfId="1666" builtinId="9" hidden="1"/>
    <cellStyle name="Открывавшаяся гиперссылка" xfId="1668" builtinId="9" hidden="1"/>
    <cellStyle name="Открывавшаяся гиперссылка" xfId="1670" builtinId="9" hidden="1"/>
    <cellStyle name="Открывавшаяся гиперссылка" xfId="1672" builtinId="9" hidden="1"/>
    <cellStyle name="Открывавшаяся гиперссылка" xfId="1674" builtinId="9" hidden="1"/>
    <cellStyle name="Открывавшаяся гиперссылка" xfId="1676" builtinId="9" hidden="1"/>
    <cellStyle name="Открывавшаяся гиперссылка" xfId="1678" builtinId="9" hidden="1"/>
    <cellStyle name="Открывавшаяся гиперссылка" xfId="1680" builtinId="9" hidden="1"/>
    <cellStyle name="Открывавшаяся гиперссылка" xfId="1682" builtinId="9" hidden="1"/>
    <cellStyle name="Открывавшаяся гиперссылка" xfId="1684" builtinId="9" hidden="1"/>
    <cellStyle name="Открывавшаяся гиперссылка" xfId="1686" builtinId="9" hidden="1"/>
    <cellStyle name="Открывавшаяся гиперссылка" xfId="1688" builtinId="9" hidden="1"/>
    <cellStyle name="Открывавшаяся гиперссылка" xfId="1690" builtinId="9" hidden="1"/>
    <cellStyle name="Открывавшаяся гиперссылка" xfId="1692" builtinId="9" hidden="1"/>
    <cellStyle name="Открывавшаяся гиперссылка" xfId="1694" builtinId="9" hidden="1"/>
    <cellStyle name="Открывавшаяся гиперссылка" xfId="1696" builtinId="9" hidden="1"/>
    <cellStyle name="Открывавшаяся гиперссылка" xfId="1698" builtinId="9" hidden="1"/>
    <cellStyle name="Открывавшаяся гиперссылка" xfId="1700" builtinId="9" hidden="1"/>
    <cellStyle name="Открывавшаяся гиперссылка" xfId="1702" builtinId="9" hidden="1"/>
    <cellStyle name="Открывавшаяся гиперссылка" xfId="1704" builtinId="9" hidden="1"/>
    <cellStyle name="Открывавшаяся гиперссылка" xfId="1706" builtinId="9" hidden="1"/>
    <cellStyle name="Открывавшаяся гиперссылка" xfId="1708" builtinId="9" hidden="1"/>
    <cellStyle name="Открывавшаяся гиперссылка" xfId="1710" builtinId="9" hidden="1"/>
    <cellStyle name="Открывавшаяся гиперссылка" xfId="1712" builtinId="9" hidden="1"/>
    <cellStyle name="Открывавшаяся гиперссылка" xfId="1714" builtinId="9" hidden="1"/>
    <cellStyle name="Открывавшаяся гиперссылка" xfId="1716" builtinId="9" hidden="1"/>
    <cellStyle name="Открывавшаяся гиперссылка" xfId="1718" builtinId="9" hidden="1"/>
    <cellStyle name="Открывавшаяся гиперссылка" xfId="1720" builtinId="9" hidden="1"/>
    <cellStyle name="Открывавшаяся гиперссылка" xfId="1722" builtinId="9" hidden="1"/>
    <cellStyle name="Открывавшаяся гиперссылка" xfId="1724" builtinId="9" hidden="1"/>
    <cellStyle name="Открывавшаяся гиперссылка" xfId="1726" builtinId="9" hidden="1"/>
    <cellStyle name="Открывавшаяся гиперссылка" xfId="1728" builtinId="9" hidden="1"/>
    <cellStyle name="Открывавшаяся гиперссылка" xfId="1730" builtinId="9" hidden="1"/>
    <cellStyle name="Открывавшаяся гиперссылка" xfId="1732" builtinId="9" hidden="1"/>
    <cellStyle name="Открывавшаяся гиперссылка" xfId="1734" builtinId="9" hidden="1"/>
    <cellStyle name="Открывавшаяся гиперссылка" xfId="1736" builtinId="9" hidden="1"/>
    <cellStyle name="Открывавшаяся гиперссылка" xfId="1738" builtinId="9" hidden="1"/>
    <cellStyle name="Открывавшаяся гиперссылка" xfId="1740" builtinId="9" hidden="1"/>
    <cellStyle name="Открывавшаяся гиперссылка" xfId="1742" builtinId="9" hidden="1"/>
    <cellStyle name="Открывавшаяся гиперссылка" xfId="1744" builtinId="9" hidden="1"/>
    <cellStyle name="Открывавшаяся гиперссылка" xfId="1746" builtinId="9" hidden="1"/>
    <cellStyle name="Открывавшаяся гиперссылка" xfId="1748" builtinId="9" hidden="1"/>
    <cellStyle name="Открывавшаяся гиперссылка" xfId="1750" builtinId="9" hidden="1"/>
    <cellStyle name="Открывавшаяся гиперссылка" xfId="1752" builtinId="9" hidden="1"/>
    <cellStyle name="Открывавшаяся гиперссылка" xfId="1754" builtinId="9" hidden="1"/>
    <cellStyle name="Открывавшаяся гиперссылка" xfId="1756" builtinId="9" hidden="1"/>
    <cellStyle name="Открывавшаяся гиперссылка" xfId="1758" builtinId="9" hidden="1"/>
    <cellStyle name="Открывавшаяся гиперссылка" xfId="1760" builtinId="9" hidden="1"/>
    <cellStyle name="Открывавшаяся гиперссылка" xfId="1762" builtinId="9" hidden="1"/>
    <cellStyle name="Открывавшаяся гиперссылка" xfId="1764" builtinId="9" hidden="1"/>
    <cellStyle name="Открывавшаяся гиперссылка" xfId="1766" builtinId="9" hidden="1"/>
    <cellStyle name="Открывавшаяся гиперссылка" xfId="1768" builtinId="9" hidden="1"/>
    <cellStyle name="Открывавшаяся гиперссылка" xfId="1770" builtinId="9" hidden="1"/>
    <cellStyle name="Открывавшаяся гиперссылка" xfId="1772" builtinId="9" hidden="1"/>
    <cellStyle name="Открывавшаяся гиперссылка" xfId="1774" builtinId="9" hidden="1"/>
    <cellStyle name="Открывавшаяся гиперссылка" xfId="1776" builtinId="9" hidden="1"/>
    <cellStyle name="Открывавшаяся гиперссылка" xfId="1778" builtinId="9" hidden="1"/>
    <cellStyle name="Открывавшаяся гиперссылка" xfId="1780" builtinId="9" hidden="1"/>
    <cellStyle name="Открывавшаяся гиперссылка" xfId="1782" builtinId="9" hidden="1"/>
    <cellStyle name="Открывавшаяся гиперссылка" xfId="1784" builtinId="9" hidden="1"/>
    <cellStyle name="Открывавшаяся гиперссылка" xfId="1786" builtinId="9" hidden="1"/>
    <cellStyle name="Открывавшаяся гиперссылка" xfId="1788" builtinId="9" hidden="1"/>
    <cellStyle name="Открывавшаяся гиперссылка" xfId="1790" builtinId="9" hidden="1"/>
    <cellStyle name="Открывавшаяся гиперссылка" xfId="1792" builtinId="9" hidden="1"/>
    <cellStyle name="Открывавшаяся гиперссылка" xfId="1794" builtinId="9" hidden="1"/>
    <cellStyle name="Открывавшаяся гиперссылка" xfId="1796" builtinId="9" hidden="1"/>
    <cellStyle name="Открывавшаяся гиперссылка" xfId="1798" builtinId="9" hidden="1"/>
    <cellStyle name="Открывавшаяся гиперссылка" xfId="1800" builtinId="9" hidden="1"/>
    <cellStyle name="Открывавшаяся гиперссылка" xfId="1802" builtinId="9" hidden="1"/>
    <cellStyle name="Открывавшаяся гиперссылка" xfId="1804" builtinId="9" hidden="1"/>
    <cellStyle name="Открывавшаяся гиперссылка" xfId="1806" builtinId="9" hidden="1"/>
    <cellStyle name="Открывавшаяся гиперссылка" xfId="1808" builtinId="9" hidden="1"/>
    <cellStyle name="Открывавшаяся гиперссылка" xfId="1810" builtinId="9" hidden="1"/>
    <cellStyle name="Открывавшаяся гиперссылка" xfId="1812" builtinId="9" hidden="1"/>
    <cellStyle name="Открывавшаяся гиперссылка" xfId="1814" builtinId="9" hidden="1"/>
    <cellStyle name="Открывавшаяся гиперссылка" xfId="1816" builtinId="9" hidden="1"/>
    <cellStyle name="Открывавшаяся гиперссылка" xfId="1818" builtinId="9" hidden="1"/>
    <cellStyle name="Открывавшаяся гиперссылка" xfId="1820" builtinId="9" hidden="1"/>
    <cellStyle name="Открывавшаяся гиперссылка" xfId="1822" builtinId="9" hidden="1"/>
    <cellStyle name="Открывавшаяся гиперссылка" xfId="1824" builtinId="9" hidden="1"/>
    <cellStyle name="Открывавшаяся гиперссылка" xfId="1826" builtinId="9" hidden="1"/>
    <cellStyle name="Открывавшаяся гиперссылка" xfId="1828" builtinId="9" hidden="1"/>
    <cellStyle name="Открывавшаяся гиперссылка" xfId="1830" builtinId="9" hidden="1"/>
    <cellStyle name="Открывавшаяся гиперссылка" xfId="1832" builtinId="9" hidden="1"/>
    <cellStyle name="Открывавшаяся гиперссылка" xfId="1834" builtinId="9" hidden="1"/>
    <cellStyle name="Открывавшаяся гиперссылка" xfId="1836" builtinId="9" hidden="1"/>
    <cellStyle name="Открывавшаяся гиперссылка" xfId="1838" builtinId="9" hidden="1"/>
    <cellStyle name="Открывавшаяся гиперссылка" xfId="1840" builtinId="9" hidden="1"/>
    <cellStyle name="Открывавшаяся гиперссылка" xfId="1842" builtinId="9" hidden="1"/>
    <cellStyle name="Открывавшаяся гиперссылка" xfId="1844" builtinId="9" hidden="1"/>
    <cellStyle name="Открывавшаяся гиперссылка" xfId="1846" builtinId="9" hidden="1"/>
    <cellStyle name="Открывавшаяся гиперссылка" xfId="1848" builtinId="9" hidden="1"/>
    <cellStyle name="Открывавшаяся гиперссылка" xfId="1850" builtinId="9" hidden="1"/>
    <cellStyle name="Открывавшаяся гиперссылка" xfId="1852" builtinId="9" hidden="1"/>
    <cellStyle name="Открывавшаяся гиперссылка" xfId="1854" builtinId="9" hidden="1"/>
    <cellStyle name="Открывавшаяся гиперссылка" xfId="1856" builtinId="9" hidden="1"/>
    <cellStyle name="Открывавшаяся гиперссылка" xfId="1858" builtinId="9" hidden="1"/>
    <cellStyle name="Открывавшаяся гиперссылка" xfId="1860" builtinId="9" hidden="1"/>
    <cellStyle name="Открывавшаяся гиперссылка" xfId="1862" builtinId="9" hidden="1"/>
    <cellStyle name="Открывавшаяся гиперссылка" xfId="1864" builtinId="9" hidden="1"/>
    <cellStyle name="Открывавшаяся гиперссылка" xfId="1866" builtinId="9" hidden="1"/>
    <cellStyle name="Открывавшаяся гиперссылка" xfId="1868" builtinId="9" hidden="1"/>
    <cellStyle name="Открывавшаяся гиперссылка" xfId="1870" builtinId="9" hidden="1"/>
    <cellStyle name="Открывавшаяся гиперссылка" xfId="1872" builtinId="9" hidden="1"/>
    <cellStyle name="Открывавшаяся гиперссылка" xfId="1874" builtinId="9" hidden="1"/>
    <cellStyle name="Открывавшаяся гиперссылка" xfId="1876" builtinId="9" hidden="1"/>
    <cellStyle name="Открывавшаяся гиперссылка" xfId="1878" builtinId="9" hidden="1"/>
    <cellStyle name="Открывавшаяся гиперссылка" xfId="1880" builtinId="9" hidden="1"/>
    <cellStyle name="Открывавшаяся гиперссылка" xfId="1882" builtinId="9" hidden="1"/>
    <cellStyle name="Открывавшаяся гиперссылка" xfId="1884" builtinId="9" hidden="1"/>
    <cellStyle name="Открывавшаяся гиперссылка" xfId="1886" builtinId="9" hidden="1"/>
    <cellStyle name="Открывавшаяся гиперссылка" xfId="1888" builtinId="9" hidden="1"/>
    <cellStyle name="Открывавшаяся гиперссылка" xfId="1890" builtinId="9" hidden="1"/>
    <cellStyle name="Открывавшаяся гиперссылка" xfId="1892" builtinId="9" hidden="1"/>
    <cellStyle name="Открывавшаяся гиперссылка" xfId="1894" builtinId="9" hidden="1"/>
    <cellStyle name="Открывавшаяся гиперссылка" xfId="1896" builtinId="9" hidden="1"/>
    <cellStyle name="Открывавшаяся гиперссылка" xfId="1898" builtinId="9" hidden="1"/>
    <cellStyle name="Открывавшаяся гиперссылка" xfId="1900" builtinId="9" hidden="1"/>
    <cellStyle name="Открывавшаяся гиперссылка" xfId="1902" builtinId="9" hidden="1"/>
    <cellStyle name="Открывавшаяся гиперссылка" xfId="1904" builtinId="9" hidden="1"/>
    <cellStyle name="Открывавшаяся гиперссылка" xfId="1906" builtinId="9" hidden="1"/>
    <cellStyle name="Открывавшаяся гиперссылка" xfId="1908" builtinId="9" hidden="1"/>
    <cellStyle name="Открывавшаяся гиперссылка" xfId="1910" builtinId="9" hidden="1"/>
    <cellStyle name="Открывавшаяся гиперссылка" xfId="1912" builtinId="9" hidden="1"/>
    <cellStyle name="Открывавшаяся гиперссылка" xfId="1914" builtinId="9" hidden="1"/>
    <cellStyle name="Открывавшаяся гиперссылка" xfId="1916" builtinId="9" hidden="1"/>
    <cellStyle name="Открывавшаяся гиперссылка" xfId="1918" builtinId="9" hidden="1"/>
    <cellStyle name="Открывавшаяся гиперссылка" xfId="1920" builtinId="9" hidden="1"/>
    <cellStyle name="Открывавшаяся гиперссылка" xfId="1922" builtinId="9" hidden="1"/>
    <cellStyle name="Открывавшаяся гиперссылка" xfId="1924" builtinId="9" hidden="1"/>
    <cellStyle name="Открывавшаяся гиперссылка" xfId="1926" builtinId="9" hidden="1"/>
    <cellStyle name="Открывавшаяся гиперссылка" xfId="1928" builtinId="9" hidden="1"/>
    <cellStyle name="Открывавшаяся гиперссылка" xfId="1930" builtinId="9" hidden="1"/>
    <cellStyle name="Открывавшаяся гиперссылка" xfId="1932" builtinId="9" hidden="1"/>
    <cellStyle name="Открывавшаяся гиперссылка" xfId="1934" builtinId="9" hidden="1"/>
    <cellStyle name="Открывавшаяся гиперссылка" xfId="1936" builtinId="9" hidden="1"/>
    <cellStyle name="Открывавшаяся гиперссылка" xfId="1938" builtinId="9" hidden="1"/>
    <cellStyle name="Открывавшаяся гиперссылка" xfId="1940" builtinId="9" hidden="1"/>
    <cellStyle name="Открывавшаяся гиперссылка" xfId="1942" builtinId="9" hidden="1"/>
    <cellStyle name="Открывавшаяся гиперссылка" xfId="1944" builtinId="9" hidden="1"/>
    <cellStyle name="Открывавшаяся гиперссылка" xfId="1946" builtinId="9" hidden="1"/>
    <cellStyle name="Открывавшаяся гиперссылка" xfId="1948" builtinId="9" hidden="1"/>
    <cellStyle name="Открывавшаяся гиперссылка" xfId="1950" builtinId="9" hidden="1"/>
    <cellStyle name="Открывавшаяся гиперссылка" xfId="1952" builtinId="9" hidden="1"/>
    <cellStyle name="Открывавшаяся гиперссылка" xfId="1954" builtinId="9" hidden="1"/>
    <cellStyle name="Открывавшаяся гиперссылка" xfId="1956" builtinId="9" hidden="1"/>
    <cellStyle name="Открывавшаяся гиперссылка" xfId="1958" builtinId="9" hidden="1"/>
    <cellStyle name="Открывавшаяся гиперссылка" xfId="1960" builtinId="9" hidden="1"/>
    <cellStyle name="Открывавшаяся гиперссылка" xfId="1962" builtinId="9" hidden="1"/>
    <cellStyle name="Открывавшаяся гиперссылка" xfId="1964" builtinId="9" hidden="1"/>
    <cellStyle name="Открывавшаяся гиперссылка" xfId="1966" builtinId="9" hidden="1"/>
    <cellStyle name="Открывавшаяся гиперссылка" xfId="1968" builtinId="9" hidden="1"/>
    <cellStyle name="Открывавшаяся гиперссылка" xfId="1970" builtinId="9" hidden="1"/>
    <cellStyle name="Открывавшаяся гиперссылка" xfId="1972" builtinId="9" hidden="1"/>
    <cellStyle name="Открывавшаяся гиперссылка" xfId="1974" builtinId="9" hidden="1"/>
    <cellStyle name="Открывавшаяся гиперссылка" xfId="1976" builtinId="9" hidden="1"/>
    <cellStyle name="Открывавшаяся гиперссылка" xfId="1978" builtinId="9" hidden="1"/>
    <cellStyle name="Открывавшаяся гиперссылка" xfId="1980" builtinId="9" hidden="1"/>
    <cellStyle name="Открывавшаяся гиперссылка" xfId="1982" builtinId="9" hidden="1"/>
    <cellStyle name="Открывавшаяся гиперссылка" xfId="1984" builtinId="9" hidden="1"/>
    <cellStyle name="Открывавшаяся гиперссылка" xfId="1986" builtinId="9" hidden="1"/>
    <cellStyle name="Открывавшаяся гиперссылка" xfId="1988" builtinId="9" hidden="1"/>
    <cellStyle name="Открывавшаяся гиперссылка" xfId="1990" builtinId="9" hidden="1"/>
    <cellStyle name="Открывавшаяся гиперссылка" xfId="1992" builtinId="9" hidden="1"/>
    <cellStyle name="Открывавшаяся гиперссылка" xfId="1994" builtinId="9" hidden="1"/>
    <cellStyle name="Открывавшаяся гиперссылка" xfId="1996" builtinId="9" hidden="1"/>
    <cellStyle name="Открывавшаяся гиперссылка" xfId="1998" builtinId="9" hidden="1"/>
    <cellStyle name="Открывавшаяся гиперссылка" xfId="2000" builtinId="9" hidden="1"/>
    <cellStyle name="Открывавшаяся гиперссылка" xfId="2002" builtinId="9" hidden="1"/>
    <cellStyle name="Открывавшаяся гиперссылка" xfId="2004" builtinId="9" hidden="1"/>
    <cellStyle name="Открывавшаяся гиперссылка" xfId="2006" builtinId="9" hidden="1"/>
    <cellStyle name="Открывавшаяся гиперссылка" xfId="2008" builtinId="9" hidden="1"/>
    <cellStyle name="Открывавшаяся гиперссылка" xfId="2010" builtinId="9" hidden="1"/>
    <cellStyle name="Открывавшаяся гиперссылка" xfId="2012" builtinId="9" hidden="1"/>
    <cellStyle name="Открывавшаяся гиперссылка" xfId="2014" builtinId="9" hidden="1"/>
    <cellStyle name="Открывавшаяся гиперссылка" xfId="2016" builtinId="9" hidden="1"/>
    <cellStyle name="Открывавшаяся гиперссылка" xfId="2018" builtinId="9" hidden="1"/>
    <cellStyle name="Открывавшаяся гиперссылка" xfId="2020" builtinId="9" hidden="1"/>
    <cellStyle name="Открывавшаяся гиперссылка" xfId="2022" builtinId="9" hidden="1"/>
    <cellStyle name="Открывавшаяся гиперссылка" xfId="2024" builtinId="9" hidden="1"/>
    <cellStyle name="Открывавшаяся гиперссылка" xfId="2026" builtinId="9" hidden="1"/>
    <cellStyle name="Открывавшаяся гиперссылка" xfId="2028" builtinId="9" hidden="1"/>
    <cellStyle name="Открывавшаяся гиперссылка" xfId="2030" builtinId="9" hidden="1"/>
    <cellStyle name="Открывавшаяся гиперссылка" xfId="2032" builtinId="9" hidden="1"/>
    <cellStyle name="Открывавшаяся гиперссылка" xfId="2034" builtinId="9" hidden="1"/>
    <cellStyle name="Открывавшаяся гиперссылка" xfId="2036" builtinId="9" hidden="1"/>
    <cellStyle name="Открывавшаяся гиперссылка" xfId="2038" builtinId="9" hidden="1"/>
    <cellStyle name="Открывавшаяся гиперссылка" xfId="2040" builtinId="9" hidden="1"/>
    <cellStyle name="Открывавшаяся гиперссылка" xfId="2042" builtinId="9" hidden="1"/>
    <cellStyle name="Открывавшаяся гиперссылка" xfId="2044" builtinId="9" hidden="1"/>
    <cellStyle name="Открывавшаяся гиперссылка" xfId="2046" builtinId="9" hidden="1"/>
    <cellStyle name="Открывавшаяся гиперссылка" xfId="2048" builtinId="9" hidden="1"/>
    <cellStyle name="Открывавшаяся гиперссылка" xfId="2050" builtinId="9" hidden="1"/>
    <cellStyle name="Открывавшаяся гиперссылка" xfId="2052" builtinId="9" hidden="1"/>
    <cellStyle name="Открывавшаяся гиперссылка" xfId="2054" builtinId="9" hidden="1"/>
    <cellStyle name="Открывавшаяся гиперссылка" xfId="2056" builtinId="9" hidden="1"/>
    <cellStyle name="Открывавшаяся гиперссылка" xfId="2058" builtinId="9" hidden="1"/>
    <cellStyle name="Открывавшаяся гиперссылка" xfId="2060" builtinId="9" hidden="1"/>
    <cellStyle name="Открывавшаяся гиперссылка" xfId="2062" builtinId="9" hidden="1"/>
    <cellStyle name="Открывавшаяся гиперссылка" xfId="2064" builtinId="9" hidden="1"/>
    <cellStyle name="Открывавшаяся гиперссылка" xfId="2066" builtinId="9" hidden="1"/>
    <cellStyle name="Открывавшаяся гиперссылка" xfId="2068" builtinId="9" hidden="1"/>
    <cellStyle name="Открывавшаяся гиперссылка" xfId="2070" builtinId="9" hidden="1"/>
    <cellStyle name="Открывавшаяся гиперссылка" xfId="2072" builtinId="9" hidden="1"/>
    <cellStyle name="Открывавшаяся гиперссылка" xfId="2074" builtinId="9" hidden="1"/>
    <cellStyle name="Открывавшаяся гиперссылка" xfId="2076" builtinId="9" hidden="1"/>
    <cellStyle name="Открывавшаяся гиперссылка" xfId="2078" builtinId="9" hidden="1"/>
    <cellStyle name="Открывавшаяся гиперссылка" xfId="2080" builtinId="9" hidden="1"/>
    <cellStyle name="Открывавшаяся гиперссылка" xfId="2082" builtinId="9" hidden="1"/>
    <cellStyle name="Открывавшаяся гиперссылка" xfId="2084" builtinId="9" hidden="1"/>
    <cellStyle name="Открывавшаяся гиперссылка" xfId="2086" builtinId="9" hidden="1"/>
    <cellStyle name="Открывавшаяся гиперссылка" xfId="2088" builtinId="9" hidden="1"/>
    <cellStyle name="Открывавшаяся гиперссылка" xfId="2090" builtinId="9" hidden="1"/>
    <cellStyle name="Открывавшаяся гиперссылка" xfId="2092" builtinId="9" hidden="1"/>
    <cellStyle name="Открывавшаяся гиперссылка" xfId="2094" builtinId="9" hidden="1"/>
    <cellStyle name="Открывавшаяся гиперссылка" xfId="2096" builtinId="9" hidden="1"/>
    <cellStyle name="Открывавшаяся гиперссылка" xfId="2098" builtinId="9" hidden="1"/>
    <cellStyle name="Открывавшаяся гиперссылка" xfId="2100" builtinId="9" hidden="1"/>
    <cellStyle name="Открывавшаяся гиперссылка" xfId="2102" builtinId="9" hidden="1"/>
    <cellStyle name="Открывавшаяся гиперссылка" xfId="2104" builtinId="9" hidden="1"/>
    <cellStyle name="Открывавшаяся гиперссылка" xfId="2106" builtinId="9" hidden="1"/>
    <cellStyle name="Открывавшаяся гиперссылка" xfId="2108" builtinId="9" hidden="1"/>
    <cellStyle name="Открывавшаяся гиперссылка" xfId="2110" builtinId="9" hidden="1"/>
    <cellStyle name="Открывавшаяся гиперссылка" xfId="2112" builtinId="9" hidden="1"/>
    <cellStyle name="Открывавшаяся гиперссылка" xfId="2114" builtinId="9" hidden="1"/>
    <cellStyle name="Открывавшаяся гиперссылка" xfId="2116" builtinId="9" hidden="1"/>
    <cellStyle name="Открывавшаяся гиперссылка" xfId="2118" builtinId="9" hidden="1"/>
    <cellStyle name="Открывавшаяся гиперссылка" xfId="2120" builtinId="9" hidden="1"/>
    <cellStyle name="Открывавшаяся гиперссылка" xfId="2122" builtinId="9" hidden="1"/>
    <cellStyle name="Открывавшаяся гиперссылка" xfId="2124" builtinId="9" hidden="1"/>
    <cellStyle name="Открывавшаяся гиперссылка" xfId="2126" builtinId="9" hidden="1"/>
    <cellStyle name="Открывавшаяся гиперссылка" xfId="2128" builtinId="9" hidden="1"/>
    <cellStyle name="Открывавшаяся гиперссылка" xfId="2130" builtinId="9" hidden="1"/>
    <cellStyle name="Открывавшаяся гиперссылка" xfId="2132" builtinId="9" hidden="1"/>
    <cellStyle name="Открывавшаяся гиперссылка" xfId="2134" builtinId="9" hidden="1"/>
    <cellStyle name="Открывавшаяся гиперссылка" xfId="2136" builtinId="9" hidden="1"/>
    <cellStyle name="Открывавшаяся гиперссылка" xfId="2138" builtinId="9" hidden="1"/>
    <cellStyle name="Открывавшаяся гиперссылка" xfId="2140" builtinId="9" hidden="1"/>
    <cellStyle name="Открывавшаяся гиперссылка" xfId="2142" builtinId="9" hidden="1"/>
    <cellStyle name="Открывавшаяся гиперссылка" xfId="2144" builtinId="9" hidden="1"/>
    <cellStyle name="Открывавшаяся гиперссылка" xfId="2146" builtinId="9" hidden="1"/>
    <cellStyle name="Открывавшаяся гиперссылка" xfId="2148" builtinId="9" hidden="1"/>
    <cellStyle name="Открывавшаяся гиперссылка" xfId="2150" builtinId="9" hidden="1"/>
    <cellStyle name="Открывавшаяся гиперссылка" xfId="2152" builtinId="9" hidden="1"/>
    <cellStyle name="Открывавшаяся гиперссылка" xfId="2154" builtinId="9" hidden="1"/>
    <cellStyle name="Открывавшаяся гиперссылка" xfId="2156" builtinId="9" hidden="1"/>
    <cellStyle name="Открывавшаяся гиперссылка" xfId="2158" builtinId="9" hidden="1"/>
    <cellStyle name="Открывавшаяся гиперссылка" xfId="2160" builtinId="9" hidden="1"/>
    <cellStyle name="Открывавшаяся гиперссылка" xfId="2162" builtinId="9" hidden="1"/>
    <cellStyle name="Открывавшаяся гиперссылка" xfId="2164" builtinId="9" hidden="1"/>
    <cellStyle name="Открывавшаяся гиперссылка" xfId="2166" builtinId="9" hidden="1"/>
    <cellStyle name="Открывавшаяся гиперссылка" xfId="2168" builtinId="9" hidden="1"/>
    <cellStyle name="Открывавшаяся гиперссылка" xfId="2170" builtinId="9" hidden="1"/>
    <cellStyle name="Открывавшаяся гиперссылка" xfId="2172" builtinId="9" hidden="1"/>
    <cellStyle name="Открывавшаяся гиперссылка" xfId="2174" builtinId="9" hidden="1"/>
    <cellStyle name="Открывавшаяся гиперссылка" xfId="2176" builtinId="9" hidden="1"/>
    <cellStyle name="Открывавшаяся гиперссылка" xfId="2178" builtinId="9" hidden="1"/>
    <cellStyle name="Открывавшаяся гиперссылка" xfId="2180" builtinId="9" hidden="1"/>
    <cellStyle name="Открывавшаяся гиперссылка" xfId="2182" builtinId="9" hidden="1"/>
    <cellStyle name="Открывавшаяся гиперссылка" xfId="2184" builtinId="9" hidden="1"/>
    <cellStyle name="Открывавшаяся гиперссылка" xfId="2186" builtinId="9" hidden="1"/>
    <cellStyle name="Открывавшаяся гиперссылка" xfId="2188" builtinId="9" hidden="1"/>
    <cellStyle name="Открывавшаяся гиперссылка" xfId="2190" builtinId="9" hidden="1"/>
    <cellStyle name="Открывавшаяся гиперссылка" xfId="2192" builtinId="9" hidden="1"/>
    <cellStyle name="Открывавшаяся гиперссылка" xfId="2194" builtinId="9" hidden="1"/>
    <cellStyle name="Открывавшаяся гиперссылка" xfId="2196" builtinId="9" hidden="1"/>
    <cellStyle name="Открывавшаяся гиперссылка" xfId="2198" builtinId="9" hidden="1"/>
    <cellStyle name="Открывавшаяся гиперссылка" xfId="2200" builtinId="9" hidden="1"/>
    <cellStyle name="Открывавшаяся гиперссылка" xfId="2202" builtinId="9" hidden="1"/>
    <cellStyle name="Открывавшаяся гиперссылка" xfId="2204" builtinId="9" hidden="1"/>
    <cellStyle name="Открывавшаяся гиперссылка" xfId="2206" builtinId="9" hidden="1"/>
    <cellStyle name="Открывавшаяся гиперссылка" xfId="2208" builtinId="9" hidden="1"/>
    <cellStyle name="Открывавшаяся гиперссылка" xfId="2210" builtinId="9" hidden="1"/>
    <cellStyle name="Открывавшаяся гиперссылка" xfId="2212" builtinId="9" hidden="1"/>
    <cellStyle name="Открывавшаяся гиперссылка" xfId="2214" builtinId="9" hidden="1"/>
    <cellStyle name="Открывавшаяся гиперссылка" xfId="2216" builtinId="9" hidden="1"/>
    <cellStyle name="Открывавшаяся гиперссылка" xfId="2218" builtinId="9" hidden="1"/>
    <cellStyle name="Открывавшаяся гиперссылка" xfId="2220" builtinId="9" hidden="1"/>
    <cellStyle name="Открывавшаяся гиперссылка" xfId="2222" builtinId="9" hidden="1"/>
    <cellStyle name="Открывавшаяся гиперссылка" xfId="2224" builtinId="9" hidden="1"/>
    <cellStyle name="Открывавшаяся гиперссылка" xfId="2226" builtinId="9" hidden="1"/>
    <cellStyle name="Открывавшаяся гиперссылка" xfId="2228" builtinId="9" hidden="1"/>
    <cellStyle name="Открывавшаяся гиперссылка" xfId="2230" builtinId="9" hidden="1"/>
    <cellStyle name="Открывавшаяся гиперссылка" xfId="2232" builtinId="9" hidden="1"/>
    <cellStyle name="Открывавшаяся гиперссылка" xfId="2234" builtinId="9" hidden="1"/>
    <cellStyle name="Открывавшаяся гиперссылка" xfId="2236" builtinId="9" hidden="1"/>
    <cellStyle name="Открывавшаяся гиперссылка" xfId="2238" builtinId="9" hidden="1"/>
    <cellStyle name="Открывавшаяся гиперссылка" xfId="2240" builtinId="9" hidden="1"/>
    <cellStyle name="Открывавшаяся гиперссылка" xfId="2242" builtinId="9" hidden="1"/>
    <cellStyle name="Открывавшаяся гиперссылка" xfId="2244" builtinId="9" hidden="1"/>
    <cellStyle name="Открывавшаяся гиперссылка" xfId="2246" builtinId="9" hidden="1"/>
    <cellStyle name="Открывавшаяся гиперссылка" xfId="2248" builtinId="9" hidden="1"/>
    <cellStyle name="Открывавшаяся гиперссылка" xfId="2250" builtinId="9" hidden="1"/>
    <cellStyle name="Открывавшаяся гиперссылка" xfId="2252" builtinId="9" hidden="1"/>
    <cellStyle name="Открывавшаяся гиперссылка" xfId="2254" builtinId="9" hidden="1"/>
    <cellStyle name="Открывавшаяся гиперссылка" xfId="2256" builtinId="9" hidden="1"/>
    <cellStyle name="Открывавшаяся гиперссылка" xfId="2258" builtinId="9" hidden="1"/>
    <cellStyle name="Открывавшаяся гиперссылка" xfId="2260" builtinId="9" hidden="1"/>
    <cellStyle name="Открывавшаяся гиперссылка" xfId="2262" builtinId="9" hidden="1"/>
    <cellStyle name="Открывавшаяся гиперссылка" xfId="2264" builtinId="9" hidden="1"/>
    <cellStyle name="Открывавшаяся гиперссылка" xfId="2266" builtinId="9" hidden="1"/>
    <cellStyle name="Открывавшаяся гиперссылка" xfId="2268" builtinId="9" hidden="1"/>
    <cellStyle name="Открывавшаяся гиперссылка" xfId="2270" builtinId="9" hidden="1"/>
    <cellStyle name="Открывавшаяся гиперссылка" xfId="2272" builtinId="9" hidden="1"/>
    <cellStyle name="Открывавшаяся гиперссылка" xfId="2274" builtinId="9" hidden="1"/>
    <cellStyle name="Открывавшаяся гиперссылка" xfId="2276" builtinId="9" hidden="1"/>
    <cellStyle name="Открывавшаяся гиперссылка" xfId="2278" builtinId="9" hidden="1"/>
    <cellStyle name="Открывавшаяся гиперссылка" xfId="2280" builtinId="9" hidden="1"/>
    <cellStyle name="Открывавшаяся гиперссылка" xfId="2282" builtinId="9" hidden="1"/>
    <cellStyle name="Открывавшаяся гиперссылка" xfId="2284" builtinId="9" hidden="1"/>
    <cellStyle name="Открывавшаяся гиперссылка" xfId="2286" builtinId="9" hidden="1"/>
    <cellStyle name="Открывавшаяся гиперссылка" xfId="2288" builtinId="9" hidden="1"/>
    <cellStyle name="Открывавшаяся гиперссылка" xfId="2290" builtinId="9" hidden="1"/>
    <cellStyle name="Открывавшаяся гиперссылка" xfId="2292" builtinId="9" hidden="1"/>
    <cellStyle name="Открывавшаяся гиперссылка" xfId="2294" builtinId="9" hidden="1"/>
    <cellStyle name="Открывавшаяся гиперссылка" xfId="2296" builtinId="9" hidden="1"/>
    <cellStyle name="Открывавшаяся гиперссылка" xfId="2298" builtinId="9" hidden="1"/>
    <cellStyle name="Открывавшаяся гиперссылка" xfId="2300" builtinId="9" hidden="1"/>
    <cellStyle name="Открывавшаяся гиперссылка" xfId="2302" builtinId="9" hidden="1"/>
    <cellStyle name="Открывавшаяся гиперссылка" xfId="2304" builtinId="9" hidden="1"/>
    <cellStyle name="Открывавшаяся гиперссылка" xfId="2306" builtinId="9" hidden="1"/>
    <cellStyle name="Открывавшаяся гиперссылка" xfId="2308" builtinId="9" hidden="1"/>
    <cellStyle name="Открывавшаяся гиперссылка" xfId="2310" builtinId="9" hidden="1"/>
    <cellStyle name="Открывавшаяся гиперссылка" xfId="2312" builtinId="9" hidden="1"/>
    <cellStyle name="Открывавшаяся гиперссылка" xfId="2314" builtinId="9" hidden="1"/>
    <cellStyle name="Открывавшаяся гиперссылка" xfId="2316" builtinId="9" hidden="1"/>
    <cellStyle name="Открывавшаяся гиперссылка" xfId="2318" builtinId="9" hidden="1"/>
    <cellStyle name="Открывавшаяся гиперссылка" xfId="2320" builtinId="9" hidden="1"/>
    <cellStyle name="Открывавшаяся гиперссылка" xfId="2322" builtinId="9" hidden="1"/>
    <cellStyle name="Открывавшаяся гиперссылка" xfId="2324" builtinId="9" hidden="1"/>
    <cellStyle name="Открывавшаяся гиперссылка" xfId="2326" builtinId="9" hidden="1"/>
    <cellStyle name="Открывавшаяся гиперссылка" xfId="2328" builtinId="9" hidden="1"/>
    <cellStyle name="Открывавшаяся гиперссылка" xfId="2330" builtinId="9" hidden="1"/>
    <cellStyle name="Открывавшаяся гиперссылка" xfId="2332" builtinId="9" hidden="1"/>
    <cellStyle name="Открывавшаяся гиперссылка" xfId="2334" builtinId="9" hidden="1"/>
    <cellStyle name="Открывавшаяся гиперссылка" xfId="2336" builtinId="9" hidden="1"/>
    <cellStyle name="Открывавшаяся гиперссылка" xfId="2338" builtinId="9" hidden="1"/>
    <cellStyle name="Открывавшаяся гиперссылка" xfId="2340" builtinId="9" hidden="1"/>
    <cellStyle name="Открывавшаяся гиперссылка" xfId="2342" builtinId="9" hidden="1"/>
    <cellStyle name="Открывавшаяся гиперссылка" xfId="2344" builtinId="9" hidden="1"/>
    <cellStyle name="Открывавшаяся гиперссылка" xfId="2346" builtinId="9" hidden="1"/>
    <cellStyle name="Открывавшаяся гиперссылка" xfId="2348" builtinId="9" hidden="1"/>
    <cellStyle name="Открывавшаяся гиперссылка" xfId="2350" builtinId="9" hidden="1"/>
    <cellStyle name="Открывавшаяся гиперссылка" xfId="2352" builtinId="9" hidden="1"/>
    <cellStyle name="Открывавшаяся гиперссылка" xfId="2354" builtinId="9" hidden="1"/>
    <cellStyle name="Открывавшаяся гиперссылка" xfId="2356" builtinId="9" hidden="1"/>
    <cellStyle name="Открывавшаяся гиперссылка" xfId="2358" builtinId="9" hidden="1"/>
    <cellStyle name="Открывавшаяся гиперссылка" xfId="2360" builtinId="9" hidden="1"/>
    <cellStyle name="Открывавшаяся гиперссылка" xfId="2362" builtinId="9" hidden="1"/>
    <cellStyle name="Открывавшаяся гиперссылка" xfId="2364" builtinId="9" hidden="1"/>
    <cellStyle name="Открывавшаяся гиперссылка" xfId="2366" builtinId="9" hidden="1"/>
    <cellStyle name="Открывавшаяся гиперссылка" xfId="2368" builtinId="9" hidden="1"/>
    <cellStyle name="Открывавшаяся гиперссылка" xfId="2370" builtinId="9" hidden="1"/>
    <cellStyle name="Открывавшаяся гиперссылка" xfId="2372" builtinId="9" hidden="1"/>
    <cellStyle name="Открывавшаяся гиперссылка" xfId="2374" builtinId="9" hidden="1"/>
    <cellStyle name="Открывавшаяся гиперссылка" xfId="2376" builtinId="9" hidden="1"/>
    <cellStyle name="Открывавшаяся гиперссылка" xfId="2378" builtinId="9" hidden="1"/>
    <cellStyle name="Открывавшаяся гиперссылка" xfId="2380" builtinId="9" hidden="1"/>
    <cellStyle name="Открывавшаяся гиперссылка" xfId="2382" builtinId="9" hidden="1"/>
    <cellStyle name="Открывавшаяся гиперссылка" xfId="2384" builtinId="9" hidden="1"/>
    <cellStyle name="Открывавшаяся гиперссылка" xfId="2386" builtinId="9" hidden="1"/>
    <cellStyle name="Открывавшаяся гиперссылка" xfId="2388" builtinId="9" hidden="1"/>
    <cellStyle name="Открывавшаяся гиперссылка" xfId="2390" builtinId="9" hidden="1"/>
    <cellStyle name="Открывавшаяся гиперссылка" xfId="2392" builtinId="9" hidden="1"/>
    <cellStyle name="Открывавшаяся гиперссылка" xfId="2394" builtinId="9" hidden="1"/>
    <cellStyle name="Открывавшаяся гиперссылка" xfId="2396" builtinId="9" hidden="1"/>
    <cellStyle name="Открывавшаяся гиперссылка" xfId="2398" builtinId="9" hidden="1"/>
    <cellStyle name="Открывавшаяся гиперссылка" xfId="2400" builtinId="9" hidden="1"/>
    <cellStyle name="Открывавшаяся гиперссылка" xfId="2402" builtinId="9" hidden="1"/>
    <cellStyle name="Открывавшаяся гиперссылка" xfId="2404" builtinId="9" hidden="1"/>
    <cellStyle name="Открывавшаяся гиперссылка" xfId="2406" builtinId="9" hidden="1"/>
    <cellStyle name="Открывавшаяся гиперссылка" xfId="2408" builtinId="9" hidden="1"/>
    <cellStyle name="Открывавшаяся гиперссылка" xfId="2410" builtinId="9" hidden="1"/>
    <cellStyle name="Открывавшаяся гиперссылка" xfId="2412" builtinId="9" hidden="1"/>
    <cellStyle name="Открывавшаяся гиперссылка" xfId="2414" builtinId="9" hidden="1"/>
    <cellStyle name="Открывавшаяся гиперссылка" xfId="2416" builtinId="9" hidden="1"/>
    <cellStyle name="Открывавшаяся гиперссылка" xfId="2418" builtinId="9" hidden="1"/>
    <cellStyle name="Открывавшаяся гиперссылка" xfId="2420" builtinId="9" hidden="1"/>
    <cellStyle name="Открывавшаяся гиперссылка" xfId="2422" builtinId="9" hidden="1"/>
    <cellStyle name="Открывавшаяся гиперссылка" xfId="2424" builtinId="9" hidden="1"/>
    <cellStyle name="Открывавшаяся гиперссылка" xfId="2426" builtinId="9" hidden="1"/>
    <cellStyle name="Открывавшаяся гиперссылка" xfId="2428" builtinId="9" hidden="1"/>
    <cellStyle name="Открывавшаяся гиперссылка" xfId="2430" builtinId="9" hidden="1"/>
    <cellStyle name="Открывавшаяся гиперссылка" xfId="2432" builtinId="9" hidden="1"/>
    <cellStyle name="Открывавшаяся гиперссылка" xfId="2434" builtinId="9" hidden="1"/>
    <cellStyle name="Открывавшаяся гиперссылка" xfId="2436" builtinId="9" hidden="1"/>
    <cellStyle name="Открывавшаяся гиперссылка" xfId="2438" builtinId="9" hidden="1"/>
    <cellStyle name="Открывавшаяся гиперссылка" xfId="2440" builtinId="9" hidden="1"/>
    <cellStyle name="Открывавшаяся гиперссылка" xfId="2442" builtinId="9" hidden="1"/>
    <cellStyle name="Открывавшаяся гиперссылка" xfId="2444" builtinId="9" hidden="1"/>
    <cellStyle name="Открывавшаяся гиперссылка" xfId="2446" builtinId="9" hidden="1"/>
    <cellStyle name="Открывавшаяся гиперссылка" xfId="2448" builtinId="9" hidden="1"/>
    <cellStyle name="Открывавшаяся гиперссылка" xfId="2450" builtinId="9" hidden="1"/>
    <cellStyle name="Открывавшаяся гиперссылка" xfId="2452" builtinId="9" hidden="1"/>
    <cellStyle name="Открывавшаяся гиперссылка" xfId="2454" builtinId="9" hidden="1"/>
    <cellStyle name="Открывавшаяся гиперссылка" xfId="2456" builtinId="9" hidden="1"/>
    <cellStyle name="Открывавшаяся гиперссылка" xfId="2458" builtinId="9" hidden="1"/>
    <cellStyle name="Открывавшаяся гиперссылка" xfId="2460" builtinId="9" hidden="1"/>
    <cellStyle name="Открывавшаяся гиперссылка" xfId="2462" builtinId="9" hidden="1"/>
    <cellStyle name="Открывавшаяся гиперссылка" xfId="2464" builtinId="9" hidden="1"/>
    <cellStyle name="Открывавшаяся гиперссылка" xfId="2466" builtinId="9" hidden="1"/>
    <cellStyle name="Открывавшаяся гиперссылка" xfId="2468" builtinId="9" hidden="1"/>
    <cellStyle name="Открывавшаяся гиперссылка" xfId="2470" builtinId="9" hidden="1"/>
    <cellStyle name="Открывавшаяся гиперссылка" xfId="2472" builtinId="9" hidden="1"/>
    <cellStyle name="Открывавшаяся гиперссылка" xfId="2474" builtinId="9" hidden="1"/>
    <cellStyle name="Открывавшаяся гиперссылка" xfId="2476" builtinId="9" hidden="1"/>
    <cellStyle name="Открывавшаяся гиперссылка" xfId="2478" builtinId="9" hidden="1"/>
    <cellStyle name="Открывавшаяся гиперссылка" xfId="2480" builtinId="9" hidden="1"/>
    <cellStyle name="Открывавшаяся гиперссылка" xfId="2482" builtinId="9" hidden="1"/>
    <cellStyle name="Открывавшаяся гиперссылка" xfId="2484" builtinId="9" hidden="1"/>
    <cellStyle name="Открывавшаяся гиперссылка" xfId="2486" builtinId="9" hidden="1"/>
    <cellStyle name="Открывавшаяся гиперссылка" xfId="2488" builtinId="9" hidden="1"/>
    <cellStyle name="Открывавшаяся гиперссылка" xfId="2490" builtinId="9" hidden="1"/>
    <cellStyle name="Открывавшаяся гиперссылка" xfId="2492" builtinId="9" hidden="1"/>
    <cellStyle name="Открывавшаяся гиперссылка" xfId="2494" builtinId="9" hidden="1"/>
    <cellStyle name="Открывавшаяся гиперссылка" xfId="2496" builtinId="9" hidden="1"/>
    <cellStyle name="Открывавшаяся гиперссылка" xfId="2498" builtinId="9" hidden="1"/>
    <cellStyle name="Открывавшаяся гиперссылка" xfId="2500" builtinId="9" hidden="1"/>
    <cellStyle name="Открывавшаяся гиперссылка" xfId="2502" builtinId="9" hidden="1"/>
    <cellStyle name="Открывавшаяся гиперссылка" xfId="2504" builtinId="9" hidden="1"/>
    <cellStyle name="Открывавшаяся гиперссылка" xfId="2506" builtinId="9" hidden="1"/>
    <cellStyle name="Открывавшаяся гиперссылка" xfId="2508" builtinId="9" hidden="1"/>
    <cellStyle name="Открывавшаяся гиперссылка" xfId="2510" builtinId="9" hidden="1"/>
    <cellStyle name="Открывавшаяся гиперссылка" xfId="2512" builtinId="9" hidden="1"/>
    <cellStyle name="Открывавшаяся гиперссылка" xfId="2514" builtinId="9" hidden="1"/>
    <cellStyle name="Открывавшаяся гиперссылка" xfId="2516" builtinId="9" hidden="1"/>
    <cellStyle name="Открывавшаяся гиперссылка" xfId="2518" builtinId="9" hidden="1"/>
    <cellStyle name="Открывавшаяся гиперссылка" xfId="2520" builtinId="9" hidden="1"/>
    <cellStyle name="Открывавшаяся гиперссылка" xfId="2522" builtinId="9" hidden="1"/>
    <cellStyle name="Открывавшаяся гиперссылка" xfId="2524" builtinId="9" hidden="1"/>
    <cellStyle name="Открывавшаяся гиперссылка" xfId="2526" builtinId="9" hidden="1"/>
    <cellStyle name="Открывавшаяся гиперссылка" xfId="2528" builtinId="9" hidden="1"/>
    <cellStyle name="Открывавшаяся гиперссылка" xfId="2530" builtinId="9" hidden="1"/>
    <cellStyle name="Открывавшаяся гиперссылка" xfId="2532" builtinId="9" hidden="1"/>
    <cellStyle name="Открывавшаяся гиперссылка" xfId="2534" builtinId="9" hidden="1"/>
    <cellStyle name="Открывавшаяся гиперссылка" xfId="2536" builtinId="9" hidden="1"/>
    <cellStyle name="Открывавшаяся гиперссылка" xfId="2538" builtinId="9" hidden="1"/>
    <cellStyle name="Открывавшаяся гиперссылка" xfId="2540" builtinId="9" hidden="1"/>
    <cellStyle name="Открывавшаяся гиперссылка" xfId="2542" builtinId="9" hidden="1"/>
    <cellStyle name="Открывавшаяся гиперссылка" xfId="2544" builtinId="9" hidden="1"/>
    <cellStyle name="Открывавшаяся гиперссылка" xfId="2546" builtinId="9" hidden="1"/>
    <cellStyle name="Открывавшаяся гиперссылка" xfId="2548" builtinId="9" hidden="1"/>
    <cellStyle name="Открывавшаяся гиперссылка" xfId="2550" builtinId="9" hidden="1"/>
    <cellStyle name="Открывавшаяся гиперссылка" xfId="2552" builtinId="9" hidden="1"/>
    <cellStyle name="Открывавшаяся гиперссылка" xfId="2554" builtinId="9" hidden="1"/>
    <cellStyle name="Открывавшаяся гиперссылка" xfId="2556" builtinId="9" hidden="1"/>
    <cellStyle name="Открывавшаяся гиперссылка" xfId="2558" builtinId="9" hidden="1"/>
    <cellStyle name="Открывавшаяся гиперссылка" xfId="2560" builtinId="9" hidden="1"/>
    <cellStyle name="Открывавшаяся гиперссылка" xfId="2562" builtinId="9" hidden="1"/>
    <cellStyle name="Открывавшаяся гиперссылка" xfId="2564" builtinId="9" hidden="1"/>
    <cellStyle name="Открывавшаяся гиперссылка" xfId="2566" builtinId="9" hidden="1"/>
    <cellStyle name="Открывавшаяся гиперссылка" xfId="2568" builtinId="9" hidden="1"/>
    <cellStyle name="Открывавшаяся гиперссылка" xfId="2570" builtinId="9" hidden="1"/>
    <cellStyle name="Открывавшаяся гиперссылка" xfId="2572" builtinId="9" hidden="1"/>
    <cellStyle name="Открывавшаяся гиперссылка" xfId="2574" builtinId="9" hidden="1"/>
    <cellStyle name="Открывавшаяся гиперссылка" xfId="2576" builtinId="9" hidden="1"/>
    <cellStyle name="Открывавшаяся гиперссылка" xfId="2578" builtinId="9" hidden="1"/>
    <cellStyle name="Открывавшаяся гиперссылка" xfId="2580" builtinId="9" hidden="1"/>
    <cellStyle name="Открывавшаяся гиперссылка" xfId="2582" builtinId="9" hidden="1"/>
    <cellStyle name="Открывавшаяся гиперссылка" xfId="2584" builtinId="9" hidden="1"/>
    <cellStyle name="Открывавшаяся гиперссылка" xfId="2586" builtinId="9" hidden="1"/>
    <cellStyle name="Открывавшаяся гиперссылка" xfId="2588" builtinId="9" hidden="1"/>
    <cellStyle name="Открывавшаяся гиперссылка" xfId="2590" builtinId="9" hidden="1"/>
    <cellStyle name="Открывавшаяся гиперссылка" xfId="2592" builtinId="9" hidden="1"/>
    <cellStyle name="Открывавшаяся гиперссылка" xfId="2594" builtinId="9" hidden="1"/>
    <cellStyle name="Открывавшаяся гиперссылка" xfId="2596" builtinId="9" hidden="1"/>
    <cellStyle name="Открывавшаяся гиперссылка" xfId="2598" builtinId="9" hidden="1"/>
    <cellStyle name="Открывавшаяся гиперссылка" xfId="2600" builtinId="9" hidden="1"/>
    <cellStyle name="Открывавшаяся гиперссылка" xfId="2602" builtinId="9" hidden="1"/>
    <cellStyle name="Открывавшаяся гиперссылка" xfId="2604" builtinId="9" hidden="1"/>
    <cellStyle name="Открывавшаяся гиперссылка" xfId="2606" builtinId="9" hidden="1"/>
    <cellStyle name="Открывавшаяся гиперссылка" xfId="2608" builtinId="9" hidden="1"/>
    <cellStyle name="Открывавшаяся гиперссылка" xfId="2610" builtinId="9" hidden="1"/>
    <cellStyle name="Открывавшаяся гиперссылка" xfId="2612" builtinId="9" hidden="1"/>
    <cellStyle name="Открывавшаяся гиперссылка" xfId="2614" builtinId="9" hidden="1"/>
    <cellStyle name="Открывавшаяся гиперссылка" xfId="2616" builtinId="9" hidden="1"/>
    <cellStyle name="Открывавшаяся гиперссылка" xfId="2618" builtinId="9" hidden="1"/>
    <cellStyle name="Открывавшаяся гиперссылка" xfId="2620" builtinId="9" hidden="1"/>
    <cellStyle name="Открывавшаяся гиперссылка" xfId="2622" builtinId="9" hidden="1"/>
    <cellStyle name="Открывавшаяся гиперссылка" xfId="2624" builtinId="9" hidden="1"/>
    <cellStyle name="Открывавшаяся гиперссылка" xfId="2626" builtinId="9" hidden="1"/>
    <cellStyle name="Открывавшаяся гиперссылка" xfId="2628" builtinId="9" hidden="1"/>
    <cellStyle name="Открывавшаяся гиперссылка" xfId="2630" builtinId="9" hidden="1"/>
    <cellStyle name="Открывавшаяся гиперссылка" xfId="2632" builtinId="9" hidden="1"/>
    <cellStyle name="Открывавшаяся гиперссылка" xfId="2634" builtinId="9" hidden="1"/>
    <cellStyle name="Открывавшаяся гиперссылка" xfId="2636" builtinId="9" hidden="1"/>
    <cellStyle name="Открывавшаяся гиперссылка" xfId="2638" builtinId="9" hidden="1"/>
    <cellStyle name="Открывавшаяся гиперссылка" xfId="2640" builtinId="9" hidden="1"/>
    <cellStyle name="Открывавшаяся гиперссылка" xfId="2642" builtinId="9" hidden="1"/>
    <cellStyle name="Открывавшаяся гиперссылка" xfId="2644" builtinId="9" hidden="1"/>
    <cellStyle name="Открывавшаяся гиперссылка" xfId="2646" builtinId="9" hidden="1"/>
    <cellStyle name="Открывавшаяся гиперссылка" xfId="2648" builtinId="9" hidden="1"/>
    <cellStyle name="Открывавшаяся гиперссылка" xfId="2650" builtinId="9" hidden="1"/>
    <cellStyle name="Открывавшаяся гиперссылка" xfId="2652" builtinId="9" hidden="1"/>
    <cellStyle name="Открывавшаяся гиперссылка" xfId="2654" builtinId="9" hidden="1"/>
    <cellStyle name="Открывавшаяся гиперссылка" xfId="2656" builtinId="9" hidden="1"/>
    <cellStyle name="Открывавшаяся гиперссылка" xfId="2658" builtinId="9" hidden="1"/>
    <cellStyle name="Открывавшаяся гиперссылка" xfId="2660" builtinId="9" hidden="1"/>
    <cellStyle name="Открывавшаяся гиперссылка" xfId="2662" builtinId="9" hidden="1"/>
    <cellStyle name="Открывавшаяся гиперссылка" xfId="2664" builtinId="9" hidden="1"/>
    <cellStyle name="Открывавшаяся гиперссылка" xfId="2666" builtinId="9" hidden="1"/>
    <cellStyle name="Открывавшаяся гиперссылка" xfId="2668" builtinId="9" hidden="1"/>
    <cellStyle name="Открывавшаяся гиперссылка" xfId="2670" builtinId="9" hidden="1"/>
    <cellStyle name="Открывавшаяся гиперссылка" xfId="2672" builtinId="9" hidden="1"/>
    <cellStyle name="Открывавшаяся гиперссылка" xfId="2674" builtinId="9" hidden="1"/>
    <cellStyle name="Открывавшаяся гиперссылка" xfId="2676" builtinId="9" hidden="1"/>
    <cellStyle name="Открывавшаяся гиперссылка" xfId="2678" builtinId="9" hidden="1"/>
    <cellStyle name="Открывавшаяся гиперссылка" xfId="2680" builtinId="9" hidden="1"/>
    <cellStyle name="Открывавшаяся гиперссылка" xfId="2682" builtinId="9" hidden="1"/>
    <cellStyle name="Открывавшаяся гиперссылка" xfId="2684" builtinId="9" hidden="1"/>
    <cellStyle name="Открывавшаяся гиперссылка" xfId="2686" builtinId="9" hidden="1"/>
    <cellStyle name="Открывавшаяся гиперссылка" xfId="2688" builtinId="9" hidden="1"/>
    <cellStyle name="Открывавшаяся гиперссылка" xfId="2690" builtinId="9" hidden="1"/>
    <cellStyle name="Открывавшаяся гиперссылка" xfId="2692" builtinId="9" hidden="1"/>
    <cellStyle name="Открывавшаяся гиперссылка" xfId="2694" builtinId="9" hidden="1"/>
    <cellStyle name="Открывавшаяся гиперссылка" xfId="2696" builtinId="9" hidden="1"/>
    <cellStyle name="Открывавшаяся гиперссылка" xfId="2698" builtinId="9" hidden="1"/>
    <cellStyle name="Открывавшаяся гиперссылка" xfId="2700" builtinId="9" hidden="1"/>
    <cellStyle name="Открывавшаяся гиперссылка" xfId="2702" builtinId="9" hidden="1"/>
    <cellStyle name="Открывавшаяся гиперссылка" xfId="2704" builtinId="9" hidden="1"/>
    <cellStyle name="Открывавшаяся гиперссылка" xfId="2706" builtinId="9" hidden="1"/>
    <cellStyle name="Открывавшаяся гиперссылка" xfId="2708" builtinId="9" hidden="1"/>
    <cellStyle name="Открывавшаяся гиперссылка" xfId="2710" builtinId="9" hidden="1"/>
    <cellStyle name="Открывавшаяся гиперссылка" xfId="2712" builtinId="9" hidden="1"/>
    <cellStyle name="Открывавшаяся гиперссылка" xfId="2714" builtinId="9" hidden="1"/>
    <cellStyle name="Открывавшаяся гиперссылка" xfId="2716" builtinId="9" hidden="1"/>
    <cellStyle name="Открывавшаяся гиперссылка" xfId="2718" builtinId="9" hidden="1"/>
    <cellStyle name="Открывавшаяся гиперссылка" xfId="2720" builtinId="9" hidden="1"/>
    <cellStyle name="Открывавшаяся гиперссылка" xfId="2722" builtinId="9" hidden="1"/>
    <cellStyle name="Открывавшаяся гиперссылка" xfId="2724" builtinId="9" hidden="1"/>
    <cellStyle name="Открывавшаяся гиперссылка" xfId="2726" builtinId="9" hidden="1"/>
    <cellStyle name="Открывавшаяся гиперссылка" xfId="2728" builtinId="9" hidden="1"/>
    <cellStyle name="Открывавшаяся гиперссылка" xfId="2730" builtinId="9" hidden="1"/>
    <cellStyle name="Открывавшаяся гиперссылка" xfId="2732" builtinId="9" hidden="1"/>
    <cellStyle name="Открывавшаяся гиперссылка" xfId="2734" builtinId="9" hidden="1"/>
    <cellStyle name="Открывавшаяся гиперссылка" xfId="2736" builtinId="9" hidden="1"/>
    <cellStyle name="Открывавшаяся гиперссылка" xfId="2738" builtinId="9" hidden="1"/>
    <cellStyle name="Открывавшаяся гиперссылка" xfId="2740" builtinId="9" hidden="1"/>
    <cellStyle name="Открывавшаяся гиперссылка" xfId="2742" builtinId="9" hidden="1"/>
    <cellStyle name="Открывавшаяся гиперссылка" xfId="2744" builtinId="9" hidden="1"/>
    <cellStyle name="Открывавшаяся гиперссылка" xfId="2746" builtinId="9" hidden="1"/>
    <cellStyle name="Открывавшаяся гиперссылка" xfId="2748" builtinId="9" hidden="1"/>
    <cellStyle name="Открывавшаяся гиперссылка" xfId="2750" builtinId="9" hidden="1"/>
    <cellStyle name="Открывавшаяся гиперссылка" xfId="2752" builtinId="9" hidden="1"/>
    <cellStyle name="Открывавшаяся гиперссылка" xfId="2754" builtinId="9" hidden="1"/>
    <cellStyle name="Открывавшаяся гиперссылка" xfId="2756" builtinId="9" hidden="1"/>
    <cellStyle name="Открывавшаяся гиперссылка" xfId="2758" builtinId="9" hidden="1"/>
    <cellStyle name="Открывавшаяся гиперссылка" xfId="2760" builtinId="9" hidden="1"/>
    <cellStyle name="Открывавшаяся гиперссылка" xfId="2762" builtinId="9" hidden="1"/>
    <cellStyle name="Открывавшаяся гиперссылка" xfId="2764" builtinId="9" hidden="1"/>
    <cellStyle name="Открывавшаяся гиперссылка" xfId="2766" builtinId="9" hidden="1"/>
    <cellStyle name="Открывавшаяся гиперссылка" xfId="2768" builtinId="9" hidden="1"/>
    <cellStyle name="Открывавшаяся гиперссылка" xfId="2770" builtinId="9" hidden="1"/>
    <cellStyle name="Открывавшаяся гиперссылка" xfId="2772" builtinId="9" hidden="1"/>
    <cellStyle name="Открывавшаяся гиперссылка" xfId="2774" builtinId="9" hidden="1"/>
    <cellStyle name="Открывавшаяся гиперссылка" xfId="2776" builtinId="9" hidden="1"/>
    <cellStyle name="Открывавшаяся гиперссылка" xfId="2778" builtinId="9" hidden="1"/>
    <cellStyle name="Открывавшаяся гиперссылка" xfId="2780" builtinId="9" hidden="1"/>
    <cellStyle name="Открывавшаяся гиперссылка" xfId="2782" builtinId="9" hidden="1"/>
    <cellStyle name="Открывавшаяся гиперссылка" xfId="2784" builtinId="9" hidden="1"/>
    <cellStyle name="Открывавшаяся гиперссылка" xfId="2786" builtinId="9" hidden="1"/>
    <cellStyle name="Открывавшаяся гиперссылка" xfId="2788" builtinId="9" hidden="1"/>
    <cellStyle name="Открывавшаяся гиперссылка" xfId="2790" builtinId="9" hidden="1"/>
    <cellStyle name="Открывавшаяся гиперссылка" xfId="2792" builtinId="9" hidden="1"/>
    <cellStyle name="Открывавшаяся гиперссылка" xfId="2794" builtinId="9" hidden="1"/>
    <cellStyle name="Открывавшаяся гиперссылка" xfId="2796" builtinId="9" hidden="1"/>
    <cellStyle name="Открывавшаяся гиперссылка" xfId="2798" builtinId="9" hidden="1"/>
    <cellStyle name="Открывавшаяся гиперссылка" xfId="2800" builtinId="9" hidden="1"/>
    <cellStyle name="Открывавшаяся гиперссылка" xfId="2802" builtinId="9" hidden="1"/>
    <cellStyle name="Открывавшаяся гиперссылка" xfId="2804" builtinId="9" hidden="1"/>
    <cellStyle name="Открывавшаяся гиперссылка" xfId="2806" builtinId="9" hidden="1"/>
    <cellStyle name="Открывавшаяся гиперссылка" xfId="2808" builtinId="9" hidden="1"/>
    <cellStyle name="Открывавшаяся гиперссылка" xfId="2810" builtinId="9" hidden="1"/>
    <cellStyle name="Открывавшаяся гиперссылка" xfId="2812" builtinId="9" hidden="1"/>
    <cellStyle name="Открывавшаяся гиперссылка" xfId="2814" builtinId="9" hidden="1"/>
    <cellStyle name="Открывавшаяся гиперссылка" xfId="2816" builtinId="9" hidden="1"/>
    <cellStyle name="Открывавшаяся гиперссылка" xfId="2818" builtinId="9" hidden="1"/>
    <cellStyle name="Открывавшаяся гиперссылка" xfId="2820" builtinId="9" hidden="1"/>
    <cellStyle name="Открывавшаяся гиперссылка" xfId="2822" builtinId="9" hidden="1"/>
    <cellStyle name="Открывавшаяся гиперссылка" xfId="2824" builtinId="9" hidden="1"/>
    <cellStyle name="Открывавшаяся гиперссылка" xfId="2826" builtinId="9" hidden="1"/>
    <cellStyle name="Открывавшаяся гиперссылка" xfId="2828" builtinId="9" hidden="1"/>
    <cellStyle name="Открывавшаяся гиперссылка" xfId="2830" builtinId="9" hidden="1"/>
    <cellStyle name="Открывавшаяся гиперссылка" xfId="2832" builtinId="9" hidden="1"/>
    <cellStyle name="Открывавшаяся гиперссылка" xfId="2834" builtinId="9" hidden="1"/>
    <cellStyle name="Открывавшаяся гиперссылка" xfId="2836" builtinId="9" hidden="1"/>
    <cellStyle name="Открывавшаяся гиперссылка" xfId="2838" builtinId="9" hidden="1"/>
    <cellStyle name="Открывавшаяся гиперссылка" xfId="2840" builtinId="9" hidden="1"/>
    <cellStyle name="Открывавшаяся гиперссылка" xfId="2842" builtinId="9" hidden="1"/>
    <cellStyle name="Открывавшаяся гиперссылка" xfId="2844" builtinId="9" hidden="1"/>
    <cellStyle name="Открывавшаяся гиперссылка" xfId="2846" builtinId="9" hidden="1"/>
    <cellStyle name="Открывавшаяся гиперссылка" xfId="2848" builtinId="9" hidden="1"/>
    <cellStyle name="Открывавшаяся гиперссылка" xfId="2850" builtinId="9" hidden="1"/>
    <cellStyle name="Открывавшаяся гиперссылка" xfId="2852" builtinId="9" hidden="1"/>
    <cellStyle name="Открывавшаяся гиперссылка" xfId="2854" builtinId="9" hidden="1"/>
    <cellStyle name="Открывавшаяся гиперссылка" xfId="2856" builtinId="9" hidden="1"/>
    <cellStyle name="Открывавшаяся гиперссылка" xfId="2858" builtinId="9" hidden="1"/>
    <cellStyle name="Открывавшаяся гиперссылка" xfId="2860" builtinId="9" hidden="1"/>
    <cellStyle name="Открывавшаяся гиперссылка" xfId="2862" builtinId="9" hidden="1"/>
    <cellStyle name="Открывавшаяся гиперссылка" xfId="2864" builtinId="9" hidden="1"/>
    <cellStyle name="Открывавшаяся гиперссылка" xfId="2866" builtinId="9" hidden="1"/>
    <cellStyle name="Открывавшаяся гиперссылка" xfId="2868" builtinId="9" hidden="1"/>
    <cellStyle name="Открывавшаяся гиперссылка" xfId="2870" builtinId="9" hidden="1"/>
    <cellStyle name="Открывавшаяся гиперссылка" xfId="2872" builtinId="9" hidden="1"/>
    <cellStyle name="Открывавшаяся гиперссылка" xfId="2874" builtinId="9" hidden="1"/>
    <cellStyle name="Открывавшаяся гиперссылка" xfId="2876" builtinId="9" hidden="1"/>
    <cellStyle name="Открывавшаяся гиперссылка" xfId="2878" builtinId="9" hidden="1"/>
    <cellStyle name="Открывавшаяся гиперссылка" xfId="2880" builtinId="9" hidden="1"/>
    <cellStyle name="Открывавшаяся гиперссылка" xfId="2882" builtinId="9" hidden="1"/>
    <cellStyle name="Открывавшаяся гиперссылка" xfId="2884" builtinId="9" hidden="1"/>
    <cellStyle name="Открывавшаяся гиперссылка" xfId="2886" builtinId="9" hidden="1"/>
    <cellStyle name="Открывавшаяся гиперссылка" xfId="2888" builtinId="9" hidden="1"/>
    <cellStyle name="Открывавшаяся гиперссылка" xfId="2890" builtinId="9" hidden="1"/>
    <cellStyle name="Открывавшаяся гиперссылка" xfId="2892" builtinId="9" hidden="1"/>
    <cellStyle name="Открывавшаяся гиперссылка" xfId="2894" builtinId="9" hidden="1"/>
    <cellStyle name="Открывавшаяся гиперссылка" xfId="2896" builtinId="9" hidden="1"/>
    <cellStyle name="Открывавшаяся гиперссылка" xfId="2898" builtinId="9" hidden="1"/>
    <cellStyle name="Открывавшаяся гиперссылка" xfId="2900" builtinId="9" hidden="1"/>
    <cellStyle name="Открывавшаяся гиперссылка" xfId="2902" builtinId="9" hidden="1"/>
    <cellStyle name="Открывавшаяся гиперссылка" xfId="2904" builtinId="9" hidden="1"/>
    <cellStyle name="Открывавшаяся гиперссылка" xfId="2906" builtinId="9" hidden="1"/>
    <cellStyle name="Открывавшаяся гиперссылка" xfId="2908" builtinId="9" hidden="1"/>
    <cellStyle name="Открывавшаяся гиперссылка" xfId="2910" builtinId="9" hidden="1"/>
    <cellStyle name="Открывавшаяся гиперссылка" xfId="2912" builtinId="9" hidden="1"/>
    <cellStyle name="Открывавшаяся гиперссылка" xfId="2914" builtinId="9" hidden="1"/>
    <cellStyle name="Открывавшаяся гиперссылка" xfId="2916" builtinId="9" hidden="1"/>
    <cellStyle name="Открывавшаяся гиперссылка" xfId="2918" builtinId="9" hidden="1"/>
    <cellStyle name="Открывавшаяся гиперссылка" xfId="2920" builtinId="9" hidden="1"/>
    <cellStyle name="Открывавшаяся гиперссылка" xfId="2922" builtinId="9" hidden="1"/>
    <cellStyle name="Открывавшаяся гиперссылка" xfId="2924" builtinId="9" hidden="1"/>
    <cellStyle name="Открывавшаяся гиперссылка" xfId="2926" builtinId="9" hidden="1"/>
    <cellStyle name="Открывавшаяся гиперссылка" xfId="2928" builtinId="9" hidden="1"/>
    <cellStyle name="Открывавшаяся гиперссылка" xfId="2930" builtinId="9" hidden="1"/>
    <cellStyle name="Открывавшаяся гиперссылка" xfId="2932" builtinId="9" hidden="1"/>
    <cellStyle name="Открывавшаяся гиперссылка" xfId="2934" builtinId="9" hidden="1"/>
    <cellStyle name="Открывавшаяся гиперссылка" xfId="2936" builtinId="9" hidden="1"/>
    <cellStyle name="Открывавшаяся гиперссылка" xfId="2938" builtinId="9" hidden="1"/>
    <cellStyle name="Открывавшаяся гиперссылка" xfId="2940" builtinId="9" hidden="1"/>
    <cellStyle name="Открывавшаяся гиперссылка" xfId="2942" builtinId="9" hidden="1"/>
    <cellStyle name="Открывавшаяся гиперссылка" xfId="2944" builtinId="9" hidden="1"/>
    <cellStyle name="Открывавшаяся гиперссылка" xfId="2946" builtinId="9" hidden="1"/>
    <cellStyle name="Открывавшаяся гиперссылка" xfId="2948" builtinId="9" hidden="1"/>
    <cellStyle name="Открывавшаяся гиперссылка" xfId="2950" builtinId="9" hidden="1"/>
    <cellStyle name="Открывавшаяся гиперссылка" xfId="2952" builtinId="9" hidden="1"/>
    <cellStyle name="Открывавшаяся гиперссылка" xfId="2954" builtinId="9" hidden="1"/>
    <cellStyle name="Открывавшаяся гиперссылка" xfId="2956" builtinId="9" hidden="1"/>
    <cellStyle name="Открывавшаяся гиперссылка" xfId="2958" builtinId="9" hidden="1"/>
    <cellStyle name="Открывавшаяся гиперссылка" xfId="2960" builtinId="9" hidden="1"/>
    <cellStyle name="Открывавшаяся гиперссылка" xfId="2962" builtinId="9" hidden="1"/>
    <cellStyle name="Открывавшаяся гиперссылка" xfId="2964" builtinId="9" hidden="1"/>
    <cellStyle name="Открывавшаяся гиперссылка" xfId="2966" builtinId="9" hidden="1"/>
    <cellStyle name="Открывавшаяся гиперссылка" xfId="2968" builtinId="9" hidden="1"/>
    <cellStyle name="Открывавшаяся гиперссылка" xfId="2970" builtinId="9" hidden="1"/>
    <cellStyle name="Открывавшаяся гиперссылка" xfId="2972" builtinId="9" hidden="1"/>
    <cellStyle name="Открывавшаяся гиперссылка" xfId="2974" builtinId="9" hidden="1"/>
    <cellStyle name="Открывавшаяся гиперссылка" xfId="2976" builtinId="9" hidden="1"/>
    <cellStyle name="Открывавшаяся гиперссылка" xfId="2978" builtinId="9" hidden="1"/>
    <cellStyle name="Открывавшаяся гиперссылка" xfId="2980" builtinId="9" hidden="1"/>
    <cellStyle name="Открывавшаяся гиперссылка" xfId="2982" builtinId="9" hidden="1"/>
    <cellStyle name="Открывавшаяся гиперссылка" xfId="2984" builtinId="9" hidden="1"/>
    <cellStyle name="Открывавшаяся гиперссылка" xfId="2986" builtinId="9" hidden="1"/>
    <cellStyle name="Открывавшаяся гиперссылка" xfId="2988" builtinId="9" hidden="1"/>
    <cellStyle name="Открывавшаяся гиперссылка" xfId="2990" builtinId="9" hidden="1"/>
    <cellStyle name="Открывавшаяся гиперссылка" xfId="2992" builtinId="9" hidden="1"/>
    <cellStyle name="Открывавшаяся гиперссылка" xfId="2994" builtinId="9" hidden="1"/>
    <cellStyle name="Открывавшаяся гиперссылка" xfId="2996" builtinId="9" hidden="1"/>
    <cellStyle name="Открывавшаяся гиперссылка" xfId="2998" builtinId="9" hidden="1"/>
    <cellStyle name="Открывавшаяся гиперссылка" xfId="3000" builtinId="9" hidden="1"/>
    <cellStyle name="Открывавшаяся гиперссылка" xfId="3002" builtinId="9" hidden="1"/>
    <cellStyle name="Открывавшаяся гиперссылка" xfId="3004" builtinId="9" hidden="1"/>
    <cellStyle name="Открывавшаяся гиперссылка" xfId="3006" builtinId="9" hidden="1"/>
    <cellStyle name="Открывавшаяся гиперссылка" xfId="3008" builtinId="9" hidden="1"/>
    <cellStyle name="Открывавшаяся гиперссылка" xfId="3010" builtinId="9" hidden="1"/>
    <cellStyle name="Открывавшаяся гиперссылка" xfId="3012" builtinId="9" hidden="1"/>
    <cellStyle name="Открывавшаяся гиперссылка" xfId="3014" builtinId="9" hidden="1"/>
    <cellStyle name="Открывавшаяся гиперссылка" xfId="3016" builtinId="9" hidden="1"/>
    <cellStyle name="Открывавшаяся гиперссылка" xfId="3018" builtinId="9" hidden="1"/>
    <cellStyle name="Открывавшаяся гиперссылка" xfId="3020" builtinId="9" hidden="1"/>
    <cellStyle name="Открывавшаяся гиперссылка" xfId="3022" builtinId="9" hidden="1"/>
    <cellStyle name="Открывавшаяся гиперссылка" xfId="3024" builtinId="9" hidden="1"/>
    <cellStyle name="Открывавшаяся гиперссылка" xfId="3026" builtinId="9" hidden="1"/>
    <cellStyle name="Открывавшаяся гиперссылка" xfId="3028" builtinId="9" hidden="1"/>
    <cellStyle name="Открывавшаяся гиперссылка" xfId="3030" builtinId="9" hidden="1"/>
    <cellStyle name="Открывавшаяся гиперссылка" xfId="3032" builtinId="9" hidden="1"/>
    <cellStyle name="Открывавшаяся гиперссылка" xfId="3034" builtinId="9" hidden="1"/>
    <cellStyle name="Открывавшаяся гиперссылка" xfId="3036" builtinId="9" hidden="1"/>
    <cellStyle name="Открывавшаяся гиперссылка" xfId="3038" builtinId="9" hidden="1"/>
    <cellStyle name="Открывавшаяся гиперссылка" xfId="3040" builtinId="9" hidden="1"/>
    <cellStyle name="Открывавшаяся гиперссылка" xfId="3042" builtinId="9" hidden="1"/>
    <cellStyle name="Открывавшаяся гиперссылка" xfId="3044" builtinId="9" hidden="1"/>
    <cellStyle name="Открывавшаяся гиперссылка" xfId="3046" builtinId="9" hidden="1"/>
    <cellStyle name="Открывавшаяся гиперссылка" xfId="3048" builtinId="9" hidden="1"/>
    <cellStyle name="Открывавшаяся гиперссылка" xfId="3050" builtinId="9" hidden="1"/>
    <cellStyle name="Открывавшаяся гиперссылка" xfId="3052" builtinId="9" hidden="1"/>
    <cellStyle name="Открывавшаяся гиперссылка" xfId="3054" builtinId="9" hidden="1"/>
    <cellStyle name="Открывавшаяся гиперссылка" xfId="3056" builtinId="9" hidden="1"/>
    <cellStyle name="Открывавшаяся гиперссылка" xfId="3058" builtinId="9" hidden="1"/>
    <cellStyle name="Открывавшаяся гиперссылка" xfId="3060" builtinId="9" hidden="1"/>
    <cellStyle name="Открывавшаяся гиперссылка" xfId="3062" builtinId="9" hidden="1"/>
    <cellStyle name="Открывавшаяся гиперссылка" xfId="3064" builtinId="9" hidden="1"/>
    <cellStyle name="Открывавшаяся гиперссылка" xfId="3066" builtinId="9" hidden="1"/>
    <cellStyle name="Открывавшаяся гиперссылка" xfId="3068" builtinId="9" hidden="1"/>
    <cellStyle name="Открывавшаяся гиперссылка" xfId="3070" builtinId="9" hidden="1"/>
    <cellStyle name="Открывавшаяся гиперссылка" xfId="3072" builtinId="9" hidden="1"/>
    <cellStyle name="Открывавшаяся гиперссылка" xfId="3074" builtinId="9" hidden="1"/>
    <cellStyle name="Открывавшаяся гиперссылка" xfId="3076" builtinId="9" hidden="1"/>
    <cellStyle name="Открывавшаяся гиперссылка" xfId="3078" builtinId="9" hidden="1"/>
    <cellStyle name="Открывавшаяся гиперссылка" xfId="3080" builtinId="9" hidden="1"/>
    <cellStyle name="Открывавшаяся гиперссылка" xfId="3082" builtinId="9" hidden="1"/>
    <cellStyle name="Открывавшаяся гиперссылка" xfId="3084" builtinId="9" hidden="1"/>
    <cellStyle name="Открывавшаяся гиперссылка" xfId="3086" builtinId="9" hidden="1"/>
    <cellStyle name="Открывавшаяся гиперссылка" xfId="3088" builtinId="9" hidden="1"/>
    <cellStyle name="Открывавшаяся гиперссылка" xfId="3090" builtinId="9" hidden="1"/>
    <cellStyle name="Открывавшаяся гиперссылка" xfId="3092" builtinId="9" hidden="1"/>
    <cellStyle name="Открывавшаяся гиперссылка" xfId="3094" builtinId="9" hidden="1"/>
    <cellStyle name="Открывавшаяся гиперссылка" xfId="3096" builtinId="9" hidden="1"/>
    <cellStyle name="Открывавшаяся гиперссылка" xfId="3098" builtinId="9" hidden="1"/>
    <cellStyle name="Открывавшаяся гиперссылка" xfId="3100" builtinId="9" hidden="1"/>
    <cellStyle name="Открывавшаяся гиперссылка" xfId="3102" builtinId="9" hidden="1"/>
    <cellStyle name="Открывавшаяся гиперссылка" xfId="3104" builtinId="9" hidden="1"/>
    <cellStyle name="Открывавшаяся гиперссылка" xfId="3106" builtinId="9" hidden="1"/>
    <cellStyle name="Открывавшаяся гиперссылка" xfId="3108" builtinId="9" hidden="1"/>
    <cellStyle name="Открывавшаяся гиперссылка" xfId="3110" builtinId="9" hidden="1"/>
    <cellStyle name="Открывавшаяся гиперссылка" xfId="3112" builtinId="9" hidden="1"/>
    <cellStyle name="Открывавшаяся гиперссылка" xfId="3114" builtinId="9" hidden="1"/>
    <cellStyle name="Открывавшаяся гиперссылка" xfId="3116" builtinId="9" hidden="1"/>
    <cellStyle name="Открывавшаяся гиперссылка" xfId="3118" builtinId="9" hidden="1"/>
    <cellStyle name="Открывавшаяся гиперссылка" xfId="3120" builtinId="9" hidden="1"/>
    <cellStyle name="Открывавшаяся гиперссылка" xfId="3122" builtinId="9" hidden="1"/>
    <cellStyle name="Открывавшаяся гиперссылка" xfId="3124" builtinId="9" hidden="1"/>
    <cellStyle name="Открывавшаяся гиперссылка" xfId="3126" builtinId="9" hidden="1"/>
    <cellStyle name="Открывавшаяся гиперссылка" xfId="3128" builtinId="9" hidden="1"/>
    <cellStyle name="Открывавшаяся гиперссылка" xfId="3130" builtinId="9" hidden="1"/>
    <cellStyle name="Открывавшаяся гиперссылка" xfId="3132" builtinId="9" hidden="1"/>
    <cellStyle name="Открывавшаяся гиперссылка" xfId="3134" builtinId="9" hidden="1"/>
    <cellStyle name="Открывавшаяся гиперссылка" xfId="3136" builtinId="9" hidden="1"/>
    <cellStyle name="Открывавшаяся гиперссылка" xfId="3138" builtinId="9" hidden="1"/>
    <cellStyle name="Открывавшаяся гиперссылка" xfId="3140" builtinId="9" hidden="1"/>
    <cellStyle name="Открывавшаяся гиперссылка" xfId="3142" builtinId="9" hidden="1"/>
    <cellStyle name="Открывавшаяся гиперссылка" xfId="3144" builtinId="9" hidden="1"/>
    <cellStyle name="Открывавшаяся гиперссылка" xfId="3146" builtinId="9" hidden="1"/>
    <cellStyle name="Открывавшаяся гиперссылка" xfId="3148" builtinId="9" hidden="1"/>
    <cellStyle name="Открывавшаяся гиперссылка" xfId="3150" builtinId="9" hidden="1"/>
    <cellStyle name="Открывавшаяся гиперссылка" xfId="3152" builtinId="9" hidden="1"/>
    <cellStyle name="Открывавшаяся гиперссылка" xfId="3154" builtinId="9" hidden="1"/>
    <cellStyle name="Открывавшаяся гиперссылка" xfId="3156" builtinId="9" hidden="1"/>
    <cellStyle name="Открывавшаяся гиперссылка" xfId="3158" builtinId="9" hidden="1"/>
    <cellStyle name="Открывавшаяся гиперссылка" xfId="3160" builtinId="9" hidden="1"/>
    <cellStyle name="Открывавшаяся гиперссылка" xfId="3162" builtinId="9" hidden="1"/>
    <cellStyle name="Открывавшаяся гиперссылка" xfId="3164" builtinId="9" hidden="1"/>
    <cellStyle name="Открывавшаяся гиперссылка" xfId="3166" builtinId="9" hidden="1"/>
    <cellStyle name="Открывавшаяся гиперссылка" xfId="3168" builtinId="9" hidden="1"/>
    <cellStyle name="Открывавшаяся гиперссылка" xfId="3170" builtinId="9" hidden="1"/>
    <cellStyle name="Открывавшаяся гиперссылка" xfId="3172" builtinId="9" hidden="1"/>
    <cellStyle name="Открывавшаяся гиперссылка" xfId="3174" builtinId="9" hidden="1"/>
    <cellStyle name="Открывавшаяся гиперссылка" xfId="3176" builtinId="9" hidden="1"/>
    <cellStyle name="Открывавшаяся гиперссылка" xfId="3178" builtinId="9" hidden="1"/>
    <cellStyle name="Открывавшаяся гиперссылка" xfId="3180" builtinId="9" hidden="1"/>
    <cellStyle name="Открывавшаяся гиперссылка" xfId="3182" builtinId="9" hidden="1"/>
    <cellStyle name="Открывавшаяся гиперссылка" xfId="3184" builtinId="9" hidden="1"/>
    <cellStyle name="Открывавшаяся гиперссылка" xfId="3186" builtinId="9" hidden="1"/>
    <cellStyle name="Открывавшаяся гиперссылка" xfId="3188" builtinId="9" hidden="1"/>
    <cellStyle name="Открывавшаяся гиперссылка" xfId="3190" builtinId="9" hidden="1"/>
    <cellStyle name="Открывавшаяся гиперссылка" xfId="3192" builtinId="9" hidden="1"/>
    <cellStyle name="Открывавшаяся гиперссылка" xfId="3194" builtinId="9" hidden="1"/>
    <cellStyle name="Открывавшаяся гиперссылка" xfId="3196" builtinId="9" hidden="1"/>
    <cellStyle name="Открывавшаяся гиперссылка" xfId="3198" builtinId="9" hidden="1"/>
    <cellStyle name="Открывавшаяся гиперссылка" xfId="3200" builtinId="9" hidden="1"/>
    <cellStyle name="Открывавшаяся гиперссылка" xfId="3202" builtinId="9" hidden="1"/>
    <cellStyle name="Открывавшаяся гиперссылка" xfId="3204" builtinId="9" hidden="1"/>
    <cellStyle name="Открывавшаяся гиперссылка" xfId="3206" builtinId="9" hidden="1"/>
    <cellStyle name="Открывавшаяся гиперссылка" xfId="3208" builtinId="9" hidden="1"/>
    <cellStyle name="Открывавшаяся гиперссылка" xfId="3210" builtinId="9" hidden="1"/>
    <cellStyle name="Открывавшаяся гиперссылка" xfId="3212" builtinId="9" hidden="1"/>
    <cellStyle name="Открывавшаяся гиперссылка" xfId="3214" builtinId="9" hidden="1"/>
    <cellStyle name="Открывавшаяся гиперссылка" xfId="3216" builtinId="9" hidden="1"/>
    <cellStyle name="Открывавшаяся гиперссылка" xfId="3218" builtinId="9" hidden="1"/>
    <cellStyle name="Открывавшаяся гиперссылка" xfId="3220" builtinId="9" hidden="1"/>
    <cellStyle name="Открывавшаяся гиперссылка" xfId="3222" builtinId="9" hidden="1"/>
    <cellStyle name="Открывавшаяся гиперссылка" xfId="3224" builtinId="9" hidden="1"/>
    <cellStyle name="Открывавшаяся гиперссылка" xfId="3226" builtinId="9" hidden="1"/>
    <cellStyle name="Открывавшаяся гиперссылка" xfId="3228" builtinId="9" hidden="1"/>
    <cellStyle name="Открывавшаяся гиперссылка" xfId="3230" builtinId="9" hidden="1"/>
    <cellStyle name="Открывавшаяся гиперссылка" xfId="3232" builtinId="9" hidden="1"/>
    <cellStyle name="Открывавшаяся гиперссылка" xfId="3234" builtinId="9" hidden="1"/>
    <cellStyle name="Открывавшаяся гиперссылка" xfId="3236" builtinId="9" hidden="1"/>
    <cellStyle name="Открывавшаяся гиперссылка" xfId="3238" builtinId="9" hidden="1"/>
    <cellStyle name="Открывавшаяся гиперссылка" xfId="3240" builtinId="9" hidden="1"/>
    <cellStyle name="Открывавшаяся гиперссылка" xfId="3242" builtinId="9" hidden="1"/>
    <cellStyle name="Открывавшаяся гиперссылка" xfId="3244" builtinId="9" hidden="1"/>
    <cellStyle name="Открывавшаяся гиперссылка" xfId="3246" builtinId="9" hidden="1"/>
    <cellStyle name="Открывавшаяся гиперссылка" xfId="3248" builtinId="9" hidden="1"/>
    <cellStyle name="Открывавшаяся гиперссылка" xfId="3250" builtinId="9" hidden="1"/>
    <cellStyle name="Открывавшаяся гиперссылка" xfId="3252" builtinId="9" hidden="1"/>
    <cellStyle name="Открывавшаяся гиперссылка" xfId="3254" builtinId="9" hidden="1"/>
    <cellStyle name="Открывавшаяся гиперссылка" xfId="3256" builtinId="9" hidden="1"/>
    <cellStyle name="Открывавшаяся гиперссылка" xfId="3258" builtinId="9" hidden="1"/>
    <cellStyle name="Открывавшаяся гиперссылка" xfId="3260" builtinId="9" hidden="1"/>
    <cellStyle name="Открывавшаяся гиперссылка" xfId="3262" builtinId="9" hidden="1"/>
    <cellStyle name="Открывавшаяся гиперссылка" xfId="3264" builtinId="9" hidden="1"/>
    <cellStyle name="Открывавшаяся гиперссылка" xfId="3266" builtinId="9" hidden="1"/>
    <cellStyle name="Открывавшаяся гиперссылка" xfId="3268" builtinId="9" hidden="1"/>
    <cellStyle name="Открывавшаяся гиперссылка" xfId="3270" builtinId="9" hidden="1"/>
    <cellStyle name="Открывавшаяся гиперссылка" xfId="3272" builtinId="9" hidden="1"/>
    <cellStyle name="Открывавшаяся гиперссылка" xfId="3274" builtinId="9" hidden="1"/>
    <cellStyle name="Открывавшаяся гиперссылка" xfId="3276" builtinId="9" hidden="1"/>
    <cellStyle name="Открывавшаяся гиперссылка" xfId="3278" builtinId="9" hidden="1"/>
    <cellStyle name="Открывавшаяся гиперссылка" xfId="3280" builtinId="9" hidden="1"/>
    <cellStyle name="Открывавшаяся гиперссылка" xfId="3282" builtinId="9" hidden="1"/>
    <cellStyle name="Открывавшаяся гиперссылка" xfId="3284" builtinId="9" hidden="1"/>
    <cellStyle name="Открывавшаяся гиперссылка" xfId="3286" builtinId="9" hidden="1"/>
    <cellStyle name="Открывавшаяся гиперссылка" xfId="3288" builtinId="9" hidden="1"/>
    <cellStyle name="Открывавшаяся гиперссылка" xfId="3290" builtinId="9" hidden="1"/>
    <cellStyle name="Открывавшаяся гиперссылка" xfId="3292" builtinId="9" hidden="1"/>
    <cellStyle name="Открывавшаяся гиперссылка" xfId="3294" builtinId="9" hidden="1"/>
    <cellStyle name="Открывавшаяся гиперссылка" xfId="3296" builtinId="9" hidden="1"/>
    <cellStyle name="Открывавшаяся гиперссылка" xfId="3298" builtinId="9" hidden="1"/>
    <cellStyle name="Открывавшаяся гиперссылка" xfId="3300" builtinId="9" hidden="1"/>
    <cellStyle name="Открывавшаяся гиперссылка" xfId="3302" builtinId="9" hidden="1"/>
    <cellStyle name="Открывавшаяся гиперссылка" xfId="3304" builtinId="9" hidden="1"/>
    <cellStyle name="Открывавшаяся гиперссылка" xfId="3306" builtinId="9" hidden="1"/>
    <cellStyle name="Открывавшаяся гиперссылка" xfId="3308" builtinId="9" hidden="1"/>
    <cellStyle name="Открывавшаяся гиперссылка" xfId="3310" builtinId="9" hidden="1"/>
    <cellStyle name="Открывавшаяся гиперссылка" xfId="3312" builtinId="9" hidden="1"/>
    <cellStyle name="Открывавшаяся гиперссылка" xfId="3314" builtinId="9" hidden="1"/>
    <cellStyle name="Открывавшаяся гиперссылка" xfId="3316" builtinId="9" hidden="1"/>
    <cellStyle name="Открывавшаяся гиперссылка" xfId="3318" builtinId="9" hidden="1"/>
    <cellStyle name="Открывавшаяся гиперссылка" xfId="3320" builtinId="9" hidden="1"/>
    <cellStyle name="Открывавшаяся гиперссылка" xfId="3322" builtinId="9" hidden="1"/>
    <cellStyle name="Открывавшаяся гиперссылка" xfId="3324" builtinId="9" hidden="1"/>
    <cellStyle name="Открывавшаяся гиперссылка" xfId="3326" builtinId="9" hidden="1"/>
    <cellStyle name="Открывавшаяся гиперссылка" xfId="3328" builtinId="9" hidden="1"/>
    <cellStyle name="Открывавшаяся гиперссылка" xfId="3330" builtinId="9" hidden="1"/>
    <cellStyle name="Открывавшаяся гиперссылка" xfId="3332" builtinId="9" hidden="1"/>
    <cellStyle name="Открывавшаяся гиперссылка" xfId="3334" builtinId="9" hidden="1"/>
    <cellStyle name="Открывавшаяся гиперссылка" xfId="3336" builtinId="9" hidden="1"/>
    <cellStyle name="Открывавшаяся гиперссылка" xfId="3338" builtinId="9" hidden="1"/>
    <cellStyle name="Открывавшаяся гиперссылка" xfId="3340" builtinId="9" hidden="1"/>
    <cellStyle name="Открывавшаяся гиперссылка" xfId="3342" builtinId="9" hidden="1"/>
    <cellStyle name="Открывавшаяся гиперссылка" xfId="3344" builtinId="9" hidden="1"/>
    <cellStyle name="Открывавшаяся гиперссылка" xfId="3346" builtinId="9" hidden="1"/>
    <cellStyle name="Открывавшаяся гиперссылка" xfId="3348" builtinId="9" hidden="1"/>
    <cellStyle name="Открывавшаяся гиперссылка" xfId="3350" builtinId="9" hidden="1"/>
    <cellStyle name="Открывавшаяся гиперссылка" xfId="3352" builtinId="9" hidden="1"/>
    <cellStyle name="Открывавшаяся гиперссылка" xfId="3354" builtinId="9" hidden="1"/>
    <cellStyle name="Открывавшаяся гиперссылка" xfId="3356" builtinId="9" hidden="1"/>
    <cellStyle name="Открывавшаяся гиперссылка" xfId="3358" builtinId="9" hidden="1"/>
    <cellStyle name="Открывавшаяся гиперссылка" xfId="3360" builtinId="9" hidden="1"/>
    <cellStyle name="Открывавшаяся гиперссылка" xfId="3362" builtinId="9" hidden="1"/>
    <cellStyle name="Открывавшаяся гиперссылка" xfId="3364" builtinId="9" hidden="1"/>
    <cellStyle name="Открывавшаяся гиперссылка" xfId="3366" builtinId="9" hidden="1"/>
    <cellStyle name="Открывавшаяся гиперссылка" xfId="3368" builtinId="9" hidden="1"/>
    <cellStyle name="Открывавшаяся гиперссылка" xfId="3370" builtinId="9" hidden="1"/>
    <cellStyle name="Открывавшаяся гиперссылка" xfId="3372" builtinId="9" hidden="1"/>
    <cellStyle name="Открывавшаяся гиперссылка" xfId="3374" builtinId="9" hidden="1"/>
    <cellStyle name="Открывавшаяся гиперссылка" xfId="3376" builtinId="9" hidden="1"/>
    <cellStyle name="Открывавшаяся гиперссылка" xfId="3378" builtinId="9" hidden="1"/>
    <cellStyle name="Открывавшаяся гиперссылка" xfId="3380" builtinId="9" hidden="1"/>
    <cellStyle name="Открывавшаяся гиперссылка" xfId="3382" builtinId="9" hidden="1"/>
    <cellStyle name="Открывавшаяся гиперссылка" xfId="3384" builtinId="9" hidden="1"/>
    <cellStyle name="Открывавшаяся гиперссылка" xfId="3386" builtinId="9" hidden="1"/>
    <cellStyle name="Открывавшаяся гиперссылка" xfId="3388" builtinId="9" hidden="1"/>
    <cellStyle name="Открывавшаяся гиперссылка" xfId="3390" builtinId="9" hidden="1"/>
    <cellStyle name="Открывавшаяся гиперссылка" xfId="3392" builtinId="9" hidden="1"/>
    <cellStyle name="Открывавшаяся гиперссылка" xfId="3394" builtinId="9" hidden="1"/>
    <cellStyle name="Открывавшаяся гиперссылка" xfId="3396" builtinId="9" hidden="1"/>
    <cellStyle name="Открывавшаяся гиперссылка" xfId="3398" builtinId="9" hidden="1"/>
    <cellStyle name="Открывавшаяся гиперссылка" xfId="3400" builtinId="9" hidden="1"/>
    <cellStyle name="Открывавшаяся гиперссылка" xfId="3402" builtinId="9" hidden="1"/>
    <cellStyle name="Открывавшаяся гиперссылка" xfId="3404" builtinId="9" hidden="1"/>
    <cellStyle name="Открывавшаяся гиперссылка" xfId="3406" builtinId="9" hidden="1"/>
    <cellStyle name="Открывавшаяся гиперссылка" xfId="3408" builtinId="9" hidden="1"/>
    <cellStyle name="Открывавшаяся гиперссылка" xfId="3410" builtinId="9" hidden="1"/>
    <cellStyle name="Открывавшаяся гиперссылка" xfId="3412" builtinId="9" hidden="1"/>
    <cellStyle name="Открывавшаяся гиперссылка" xfId="3414" builtinId="9" hidden="1"/>
    <cellStyle name="Открывавшаяся гиперссылка" xfId="3416" builtinId="9" hidden="1"/>
    <cellStyle name="Открывавшаяся гиперссылка" xfId="3418" builtinId="9" hidden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Финансовый" xfId="1468" builtinId="3"/>
    <cellStyle name="Хороший" xfId="7" builtinId="26" customBuiltin="1"/>
    <cellStyle name="Normal 2" xfId="43" xr:uid="{00000000-0005-0000-0000-0000540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755664541197801E-2"/>
          <c:y val="0.135559658291424"/>
          <c:w val="0.92974867674940598"/>
          <c:h val="0.77589070958696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Исходные!$B$64</c:f>
              <c:strCache>
                <c:ptCount val="1"/>
                <c:pt idx="0">
                  <c:v>2021 г.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Исходные!$A$65:$A$66</c:f>
              <c:strCache>
                <c:ptCount val="2"/>
                <c:pt idx="0">
                  <c:v>Агро ДКВ 1, кг</c:v>
                </c:pt>
                <c:pt idx="1">
                  <c:v>Агро ДКВ 2, кг</c:v>
                </c:pt>
              </c:strCache>
            </c:strRef>
          </c:cat>
          <c:val>
            <c:numRef>
              <c:f>Исходные!$B$65:$B$66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7-4F57-A673-75E8257AB3D8}"/>
            </c:ext>
          </c:extLst>
        </c:ser>
        <c:ser>
          <c:idx val="1"/>
          <c:order val="1"/>
          <c:tx>
            <c:strRef>
              <c:f>Исходные!$C$64</c:f>
              <c:strCache>
                <c:ptCount val="1"/>
                <c:pt idx="0">
                  <c:v>2022 г.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Исходные!$A$65:$A$66</c:f>
              <c:strCache>
                <c:ptCount val="2"/>
                <c:pt idx="0">
                  <c:v>Агро ДКВ 1, кг</c:v>
                </c:pt>
                <c:pt idx="1">
                  <c:v>Агро ДКВ 2, кг</c:v>
                </c:pt>
              </c:strCache>
            </c:strRef>
          </c:cat>
          <c:val>
            <c:numRef>
              <c:f>Исходные!$C$65:$C$66</c:f>
              <c:numCache>
                <c:formatCode>#,##0</c:formatCode>
                <c:ptCount val="2"/>
                <c:pt idx="0">
                  <c:v>1760.0000000000002</c:v>
                </c:pt>
                <c:pt idx="1">
                  <c:v>880.00000000000011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7-4F57-A673-75E8257AB3D8}"/>
            </c:ext>
          </c:extLst>
        </c:ser>
        <c:ser>
          <c:idx val="2"/>
          <c:order val="2"/>
          <c:tx>
            <c:strRef>
              <c:f>Исходные!$D$64</c:f>
              <c:strCache>
                <c:ptCount val="1"/>
                <c:pt idx="0">
                  <c:v>2023 г.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Исходные!$A$65:$A$66</c:f>
              <c:strCache>
                <c:ptCount val="2"/>
                <c:pt idx="0">
                  <c:v>Агро ДКВ 1, кг</c:v>
                </c:pt>
                <c:pt idx="1">
                  <c:v>Агро ДКВ 2, кг</c:v>
                </c:pt>
              </c:strCache>
            </c:strRef>
          </c:cat>
          <c:val>
            <c:numRef>
              <c:f>Исходные!$D$65:$D$66</c:f>
              <c:numCache>
                <c:formatCode>#,##0</c:formatCode>
                <c:ptCount val="2"/>
                <c:pt idx="0">
                  <c:v>1235.52</c:v>
                </c:pt>
                <c:pt idx="1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17-4F57-A673-75E8257AB3D8}"/>
            </c:ext>
          </c:extLst>
        </c:ser>
        <c:ser>
          <c:idx val="3"/>
          <c:order val="3"/>
          <c:tx>
            <c:strRef>
              <c:f>Исходные!$E$64</c:f>
              <c:strCache>
                <c:ptCount val="1"/>
                <c:pt idx="0">
                  <c:v>2024 г.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Исходные!$A$65:$A$66</c:f>
              <c:strCache>
                <c:ptCount val="2"/>
                <c:pt idx="0">
                  <c:v>Агро ДКВ 1, кг</c:v>
                </c:pt>
                <c:pt idx="1">
                  <c:v>Агро ДКВ 2, кг</c:v>
                </c:pt>
              </c:strCache>
            </c:strRef>
          </c:cat>
          <c:val>
            <c:numRef>
              <c:f>Исходные!$E$65:$E$66</c:f>
              <c:numCache>
                <c:formatCode>#,##0</c:formatCode>
                <c:ptCount val="2"/>
                <c:pt idx="0">
                  <c:v>1427.7120000000002</c:v>
                </c:pt>
                <c:pt idx="1">
                  <c:v>1427.7120000000002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17-4F57-A673-75E8257AB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9548648"/>
        <c:axId val="2107701016"/>
      </c:barChart>
      <c:catAx>
        <c:axId val="21295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7701016"/>
        <c:crosses val="autoZero"/>
        <c:auto val="1"/>
        <c:lblAlgn val="ctr"/>
        <c:lblOffset val="100"/>
        <c:noMultiLvlLbl val="0"/>
      </c:catAx>
      <c:valAx>
        <c:axId val="210770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95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'Анализ безубыточности'!$E$49</c:f>
              <c:strCache>
                <c:ptCount val="1"/>
                <c:pt idx="0">
                  <c:v>Выручка, руб</c:v>
                </c:pt>
              </c:strCache>
            </c:strRef>
          </c:tx>
          <c:marker>
            <c:symbol val="none"/>
          </c:marker>
          <c:cat>
            <c:numRef>
              <c:f>'Анализ безубыточности'!$A$51:$A$97</c:f>
              <c:numCache>
                <c:formatCode>General</c:formatCode>
                <c:ptCount val="47"/>
                <c:pt idx="0">
                  <c:v>1</c:v>
                </c:pt>
                <c:pt idx="1">
                  <c:v>26</c:v>
                </c:pt>
                <c:pt idx="2">
                  <c:v>51</c:v>
                </c:pt>
                <c:pt idx="3">
                  <c:v>76</c:v>
                </c:pt>
                <c:pt idx="4">
                  <c:v>101</c:v>
                </c:pt>
                <c:pt idx="5">
                  <c:v>126</c:v>
                </c:pt>
                <c:pt idx="6">
                  <c:v>151</c:v>
                </c:pt>
                <c:pt idx="7">
                  <c:v>176</c:v>
                </c:pt>
                <c:pt idx="8">
                  <c:v>201</c:v>
                </c:pt>
                <c:pt idx="9">
                  <c:v>226</c:v>
                </c:pt>
                <c:pt idx="10">
                  <c:v>251</c:v>
                </c:pt>
                <c:pt idx="11">
                  <c:v>276</c:v>
                </c:pt>
                <c:pt idx="12">
                  <c:v>301</c:v>
                </c:pt>
                <c:pt idx="13">
                  <c:v>326</c:v>
                </c:pt>
                <c:pt idx="14">
                  <c:v>351</c:v>
                </c:pt>
                <c:pt idx="15">
                  <c:v>376</c:v>
                </c:pt>
                <c:pt idx="16">
                  <c:v>401</c:v>
                </c:pt>
                <c:pt idx="17">
                  <c:v>426</c:v>
                </c:pt>
                <c:pt idx="18">
                  <c:v>451</c:v>
                </c:pt>
                <c:pt idx="19">
                  <c:v>476</c:v>
                </c:pt>
                <c:pt idx="20">
                  <c:v>501</c:v>
                </c:pt>
                <c:pt idx="21">
                  <c:v>526</c:v>
                </c:pt>
                <c:pt idx="22">
                  <c:v>551</c:v>
                </c:pt>
                <c:pt idx="23">
                  <c:v>576</c:v>
                </c:pt>
                <c:pt idx="24">
                  <c:v>601</c:v>
                </c:pt>
                <c:pt idx="25">
                  <c:v>626</c:v>
                </c:pt>
                <c:pt idx="26">
                  <c:v>651</c:v>
                </c:pt>
                <c:pt idx="27">
                  <c:v>676</c:v>
                </c:pt>
                <c:pt idx="28">
                  <c:v>701</c:v>
                </c:pt>
                <c:pt idx="29">
                  <c:v>726</c:v>
                </c:pt>
                <c:pt idx="30">
                  <c:v>751</c:v>
                </c:pt>
                <c:pt idx="31">
                  <c:v>776</c:v>
                </c:pt>
                <c:pt idx="32">
                  <c:v>801</c:v>
                </c:pt>
                <c:pt idx="33">
                  <c:v>826</c:v>
                </c:pt>
                <c:pt idx="34">
                  <c:v>851</c:v>
                </c:pt>
                <c:pt idx="35">
                  <c:v>876</c:v>
                </c:pt>
                <c:pt idx="36">
                  <c:v>901</c:v>
                </c:pt>
                <c:pt idx="37">
                  <c:v>926</c:v>
                </c:pt>
                <c:pt idx="38">
                  <c:v>951</c:v>
                </c:pt>
                <c:pt idx="39">
                  <c:v>976</c:v>
                </c:pt>
                <c:pt idx="40">
                  <c:v>1001</c:v>
                </c:pt>
                <c:pt idx="41">
                  <c:v>1026</c:v>
                </c:pt>
                <c:pt idx="42">
                  <c:v>1051</c:v>
                </c:pt>
                <c:pt idx="43">
                  <c:v>1076</c:v>
                </c:pt>
                <c:pt idx="44">
                  <c:v>1101</c:v>
                </c:pt>
                <c:pt idx="45">
                  <c:v>1126</c:v>
                </c:pt>
                <c:pt idx="46">
                  <c:v>1151</c:v>
                </c:pt>
              </c:numCache>
            </c:numRef>
          </c:cat>
          <c:val>
            <c:numRef>
              <c:f>'Анализ безубыточности'!$E$52:$E$102</c:f>
              <c:numCache>
                <c:formatCode>General</c:formatCode>
                <c:ptCount val="51"/>
                <c:pt idx="0">
                  <c:v>18.142172244505765</c:v>
                </c:pt>
                <c:pt idx="1">
                  <c:v>471.69647835714989</c:v>
                </c:pt>
                <c:pt idx="2">
                  <c:v>925.25078446979398</c:v>
                </c:pt>
                <c:pt idx="3">
                  <c:v>1378.8050905824382</c:v>
                </c:pt>
                <c:pt idx="4">
                  <c:v>1832.3593966950823</c:v>
                </c:pt>
                <c:pt idx="5">
                  <c:v>2285.9137028077266</c:v>
                </c:pt>
                <c:pt idx="6">
                  <c:v>2739.4680089203707</c:v>
                </c:pt>
                <c:pt idx="7">
                  <c:v>3193.0223150330148</c:v>
                </c:pt>
                <c:pt idx="8">
                  <c:v>3646.5766211456589</c:v>
                </c:pt>
                <c:pt idx="9">
                  <c:v>4100.130927258303</c:v>
                </c:pt>
                <c:pt idx="10">
                  <c:v>4553.6852333709467</c:v>
                </c:pt>
                <c:pt idx="11">
                  <c:v>5007.2395394835912</c:v>
                </c:pt>
                <c:pt idx="12">
                  <c:v>5460.7938455962358</c:v>
                </c:pt>
                <c:pt idx="13">
                  <c:v>5914.3481517088794</c:v>
                </c:pt>
                <c:pt idx="14">
                  <c:v>6367.902457821524</c:v>
                </c:pt>
                <c:pt idx="15">
                  <c:v>6821.4567639341676</c:v>
                </c:pt>
                <c:pt idx="16">
                  <c:v>7275.0110700468122</c:v>
                </c:pt>
                <c:pt idx="17">
                  <c:v>7728.5653761594558</c:v>
                </c:pt>
                <c:pt idx="18">
                  <c:v>8182.1196822721004</c:v>
                </c:pt>
                <c:pt idx="19">
                  <c:v>8635.673988384744</c:v>
                </c:pt>
                <c:pt idx="20">
                  <c:v>9089.2282944973886</c:v>
                </c:pt>
                <c:pt idx="21">
                  <c:v>9542.7826006100331</c:v>
                </c:pt>
                <c:pt idx="22">
                  <c:v>9996.3369067226758</c:v>
                </c:pt>
                <c:pt idx="23">
                  <c:v>10449.89121283532</c:v>
                </c:pt>
                <c:pt idx="24">
                  <c:v>10903.445518947965</c:v>
                </c:pt>
                <c:pt idx="25">
                  <c:v>11356.99982506061</c:v>
                </c:pt>
                <c:pt idx="26">
                  <c:v>11810.554131173254</c:v>
                </c:pt>
                <c:pt idx="27">
                  <c:v>12264.108437285897</c:v>
                </c:pt>
                <c:pt idx="28">
                  <c:v>12717.662743398541</c:v>
                </c:pt>
                <c:pt idx="29">
                  <c:v>13171.217049511186</c:v>
                </c:pt>
                <c:pt idx="30">
                  <c:v>13624.77135562383</c:v>
                </c:pt>
                <c:pt idx="31">
                  <c:v>14078.325661736473</c:v>
                </c:pt>
                <c:pt idx="32">
                  <c:v>14531.879967849118</c:v>
                </c:pt>
                <c:pt idx="33">
                  <c:v>14985.434273961762</c:v>
                </c:pt>
                <c:pt idx="34">
                  <c:v>15438.988580074407</c:v>
                </c:pt>
                <c:pt idx="35">
                  <c:v>15892.54288618705</c:v>
                </c:pt>
                <c:pt idx="36">
                  <c:v>16346.097192299694</c:v>
                </c:pt>
                <c:pt idx="37">
                  <c:v>16799.651498412339</c:v>
                </c:pt>
                <c:pt idx="38">
                  <c:v>17253.205804524983</c:v>
                </c:pt>
                <c:pt idx="39">
                  <c:v>17706.760110637628</c:v>
                </c:pt>
                <c:pt idx="40">
                  <c:v>18160.314416750272</c:v>
                </c:pt>
                <c:pt idx="41">
                  <c:v>18613.868722862917</c:v>
                </c:pt>
                <c:pt idx="42">
                  <c:v>19067.423028975558</c:v>
                </c:pt>
                <c:pt idx="43">
                  <c:v>19520.977335088202</c:v>
                </c:pt>
                <c:pt idx="44">
                  <c:v>19974.531641200847</c:v>
                </c:pt>
                <c:pt idx="45">
                  <c:v>20428.085947313491</c:v>
                </c:pt>
                <c:pt idx="46">
                  <c:v>20881.640253426136</c:v>
                </c:pt>
                <c:pt idx="47">
                  <c:v>21335.194559538781</c:v>
                </c:pt>
                <c:pt idx="48">
                  <c:v>21788.748865651425</c:v>
                </c:pt>
                <c:pt idx="49">
                  <c:v>22242.30317176407</c:v>
                </c:pt>
                <c:pt idx="50">
                  <c:v>22695.857477876714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BCD-8A4F-67B384711C61}"/>
            </c:ext>
          </c:extLst>
        </c:ser>
        <c:ser>
          <c:idx val="1"/>
          <c:order val="1"/>
          <c:tx>
            <c:strRef>
              <c:f>'Анализ безубыточности'!$F$49</c:f>
              <c:strCache>
                <c:ptCount val="1"/>
                <c:pt idx="0">
                  <c:v>Все затраты, руб</c:v>
                </c:pt>
              </c:strCache>
            </c:strRef>
          </c:tx>
          <c:marker>
            <c:symbol val="none"/>
          </c:marker>
          <c:cat>
            <c:numRef>
              <c:f>'Анализ безубыточности'!$A$51:$A$97</c:f>
              <c:numCache>
                <c:formatCode>General</c:formatCode>
                <c:ptCount val="47"/>
                <c:pt idx="0">
                  <c:v>1</c:v>
                </c:pt>
                <c:pt idx="1">
                  <c:v>26</c:v>
                </c:pt>
                <c:pt idx="2">
                  <c:v>51</c:v>
                </c:pt>
                <c:pt idx="3">
                  <c:v>76</c:v>
                </c:pt>
                <c:pt idx="4">
                  <c:v>101</c:v>
                </c:pt>
                <c:pt idx="5">
                  <c:v>126</c:v>
                </c:pt>
                <c:pt idx="6">
                  <c:v>151</c:v>
                </c:pt>
                <c:pt idx="7">
                  <c:v>176</c:v>
                </c:pt>
                <c:pt idx="8">
                  <c:v>201</c:v>
                </c:pt>
                <c:pt idx="9">
                  <c:v>226</c:v>
                </c:pt>
                <c:pt idx="10">
                  <c:v>251</c:v>
                </c:pt>
                <c:pt idx="11">
                  <c:v>276</c:v>
                </c:pt>
                <c:pt idx="12">
                  <c:v>301</c:v>
                </c:pt>
                <c:pt idx="13">
                  <c:v>326</c:v>
                </c:pt>
                <c:pt idx="14">
                  <c:v>351</c:v>
                </c:pt>
                <c:pt idx="15">
                  <c:v>376</c:v>
                </c:pt>
                <c:pt idx="16">
                  <c:v>401</c:v>
                </c:pt>
                <c:pt idx="17">
                  <c:v>426</c:v>
                </c:pt>
                <c:pt idx="18">
                  <c:v>451</c:v>
                </c:pt>
                <c:pt idx="19">
                  <c:v>476</c:v>
                </c:pt>
                <c:pt idx="20">
                  <c:v>501</c:v>
                </c:pt>
                <c:pt idx="21">
                  <c:v>526</c:v>
                </c:pt>
                <c:pt idx="22">
                  <c:v>551</c:v>
                </c:pt>
                <c:pt idx="23">
                  <c:v>576</c:v>
                </c:pt>
                <c:pt idx="24">
                  <c:v>601</c:v>
                </c:pt>
                <c:pt idx="25">
                  <c:v>626</c:v>
                </c:pt>
                <c:pt idx="26">
                  <c:v>651</c:v>
                </c:pt>
                <c:pt idx="27">
                  <c:v>676</c:v>
                </c:pt>
                <c:pt idx="28">
                  <c:v>701</c:v>
                </c:pt>
                <c:pt idx="29">
                  <c:v>726</c:v>
                </c:pt>
                <c:pt idx="30">
                  <c:v>751</c:v>
                </c:pt>
                <c:pt idx="31">
                  <c:v>776</c:v>
                </c:pt>
                <c:pt idx="32">
                  <c:v>801</c:v>
                </c:pt>
                <c:pt idx="33">
                  <c:v>826</c:v>
                </c:pt>
                <c:pt idx="34">
                  <c:v>851</c:v>
                </c:pt>
                <c:pt idx="35">
                  <c:v>876</c:v>
                </c:pt>
                <c:pt idx="36">
                  <c:v>901</c:v>
                </c:pt>
                <c:pt idx="37">
                  <c:v>926</c:v>
                </c:pt>
                <c:pt idx="38">
                  <c:v>951</c:v>
                </c:pt>
                <c:pt idx="39">
                  <c:v>976</c:v>
                </c:pt>
                <c:pt idx="40">
                  <c:v>1001</c:v>
                </c:pt>
                <c:pt idx="41">
                  <c:v>1026</c:v>
                </c:pt>
                <c:pt idx="42">
                  <c:v>1051</c:v>
                </c:pt>
                <c:pt idx="43">
                  <c:v>1076</c:v>
                </c:pt>
                <c:pt idx="44">
                  <c:v>1101</c:v>
                </c:pt>
                <c:pt idx="45">
                  <c:v>1126</c:v>
                </c:pt>
                <c:pt idx="46">
                  <c:v>1151</c:v>
                </c:pt>
              </c:numCache>
            </c:numRef>
          </c:cat>
          <c:val>
            <c:numRef>
              <c:f>'Анализ безубыточности'!$F$52:$F$97</c:f>
              <c:numCache>
                <c:formatCode>_-* #\ ##0\ _₽_-;\-* #\ ##0\ _₽_-;_-* "-"\ _₽_-;_-@_-</c:formatCode>
                <c:ptCount val="46"/>
                <c:pt idx="0">
                  <c:v>16991.50973247916</c:v>
                </c:pt>
                <c:pt idx="1">
                  <c:v>17002.053178971193</c:v>
                </c:pt>
                <c:pt idx="2">
                  <c:v>17012.596625463229</c:v>
                </c:pt>
                <c:pt idx="3">
                  <c:v>17023.140071955262</c:v>
                </c:pt>
                <c:pt idx="4">
                  <c:v>17033.683518447295</c:v>
                </c:pt>
                <c:pt idx="5">
                  <c:v>17044.226964939327</c:v>
                </c:pt>
                <c:pt idx="6">
                  <c:v>17054.77041143136</c:v>
                </c:pt>
                <c:pt idx="7">
                  <c:v>17065.313857923393</c:v>
                </c:pt>
                <c:pt idx="8">
                  <c:v>17075.857304415429</c:v>
                </c:pt>
                <c:pt idx="9">
                  <c:v>17086.400750907462</c:v>
                </c:pt>
                <c:pt idx="10">
                  <c:v>17096.944197399494</c:v>
                </c:pt>
                <c:pt idx="11">
                  <c:v>17107.487643891527</c:v>
                </c:pt>
                <c:pt idx="12">
                  <c:v>17118.03109038356</c:v>
                </c:pt>
                <c:pt idx="13">
                  <c:v>17128.574536875596</c:v>
                </c:pt>
                <c:pt idx="14">
                  <c:v>17139.117983367629</c:v>
                </c:pt>
                <c:pt idx="15">
                  <c:v>17149.661429859661</c:v>
                </c:pt>
                <c:pt idx="16">
                  <c:v>17160.204876351694</c:v>
                </c:pt>
                <c:pt idx="17">
                  <c:v>17170.748322843727</c:v>
                </c:pt>
                <c:pt idx="18">
                  <c:v>17181.291769335759</c:v>
                </c:pt>
                <c:pt idx="19">
                  <c:v>17191.835215827796</c:v>
                </c:pt>
                <c:pt idx="20">
                  <c:v>17202.378662319828</c:v>
                </c:pt>
                <c:pt idx="21">
                  <c:v>17212.922108811861</c:v>
                </c:pt>
                <c:pt idx="22">
                  <c:v>17223.465555303894</c:v>
                </c:pt>
                <c:pt idx="23">
                  <c:v>17234.009001795926</c:v>
                </c:pt>
                <c:pt idx="24">
                  <c:v>17244.552448287959</c:v>
                </c:pt>
                <c:pt idx="25">
                  <c:v>17255.095894779995</c:v>
                </c:pt>
                <c:pt idx="26">
                  <c:v>17265.639341272028</c:v>
                </c:pt>
                <c:pt idx="27">
                  <c:v>17276.182787764061</c:v>
                </c:pt>
                <c:pt idx="28">
                  <c:v>17286.726234256093</c:v>
                </c:pt>
                <c:pt idx="29">
                  <c:v>17297.269680748126</c:v>
                </c:pt>
                <c:pt idx="30">
                  <c:v>17307.813127240162</c:v>
                </c:pt>
                <c:pt idx="31">
                  <c:v>17318.356573732195</c:v>
                </c:pt>
                <c:pt idx="32">
                  <c:v>17328.900020224228</c:v>
                </c:pt>
                <c:pt idx="33">
                  <c:v>17339.44346671626</c:v>
                </c:pt>
                <c:pt idx="34">
                  <c:v>17349.986913208293</c:v>
                </c:pt>
                <c:pt idx="35">
                  <c:v>17360.530359700326</c:v>
                </c:pt>
                <c:pt idx="36">
                  <c:v>17371.073806192362</c:v>
                </c:pt>
                <c:pt idx="37">
                  <c:v>17381.617252684395</c:v>
                </c:pt>
                <c:pt idx="38">
                  <c:v>17392.160699176427</c:v>
                </c:pt>
                <c:pt idx="39">
                  <c:v>17402.70414566846</c:v>
                </c:pt>
                <c:pt idx="40">
                  <c:v>17413.247592160493</c:v>
                </c:pt>
                <c:pt idx="41">
                  <c:v>17423.791038652525</c:v>
                </c:pt>
                <c:pt idx="42">
                  <c:v>17434.334485144562</c:v>
                </c:pt>
                <c:pt idx="43">
                  <c:v>17444.877931636594</c:v>
                </c:pt>
                <c:pt idx="44">
                  <c:v>17455.421378128627</c:v>
                </c:pt>
                <c:pt idx="45">
                  <c:v>17465.96482462066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0-4BCD-8A4F-67B384711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47361176"/>
        <c:axId val="-2147358088"/>
      </c:lineChart>
      <c:catAx>
        <c:axId val="-2147361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Times New Roman"/>
                <a:cs typeface="Times New Roman"/>
              </a:defRPr>
            </a:pPr>
            <a:endParaRPr lang="ru-RU"/>
          </a:p>
        </c:txPr>
        <c:crossAx val="-2147358088"/>
        <c:crosses val="autoZero"/>
        <c:auto val="1"/>
        <c:lblAlgn val="ctr"/>
        <c:lblOffset val="100"/>
        <c:noMultiLvlLbl val="0"/>
      </c:catAx>
      <c:valAx>
        <c:axId val="-2147358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Times New Roman"/>
                <a:cs typeface="Times New Roman"/>
              </a:defRPr>
            </a:pPr>
            <a:endParaRPr lang="ru-RU"/>
          </a:p>
        </c:txPr>
        <c:crossAx val="-21473611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600" b="1">
              <a:latin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 paperSize="9" orientation="portrait" horizontalDpi="-3" verticalDpi="-3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'отчет о прибылях и убытках'!$A$18</c:f>
              <c:strCache>
                <c:ptCount val="1"/>
                <c:pt idx="0">
                  <c:v>Чистая прибыль</c:v>
                </c:pt>
              </c:strCache>
            </c:strRef>
          </c:tx>
          <c:invertIfNegative val="0"/>
          <c:cat>
            <c:numRef>
              <c:f>'отчет о прибылях и убытках'!$B$18:$J$18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</c:numCache>
            </c:numRef>
          </c:cat>
          <c:val>
            <c:numRef>
              <c:f>'отчет о прибылях и убытках'!$B$19:$J$19</c:f>
              <c:numCache>
                <c:formatCode>#,##0</c:formatCode>
                <c:ptCount val="9"/>
                <c:pt idx="0">
                  <c:v>-32790.320799999994</c:v>
                </c:pt>
                <c:pt idx="1">
                  <c:v>-4380.2319655399942</c:v>
                </c:pt>
                <c:pt idx="2">
                  <c:v>16875.442372596521</c:v>
                </c:pt>
                <c:pt idx="3">
                  <c:v>29168.633771000517</c:v>
                </c:pt>
                <c:pt idx="4">
                  <c:v>42520.264767945555</c:v>
                </c:pt>
                <c:pt idx="5">
                  <c:v>43507.248579523337</c:v>
                </c:pt>
                <c:pt idx="6">
                  <c:v>45521.717052661857</c:v>
                </c:pt>
                <c:pt idx="7">
                  <c:v>47981.300736414836</c:v>
                </c:pt>
                <c:pt idx="8">
                  <c:v>49886.266813428272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7-4B84-89E5-D79833BE6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130208184"/>
        <c:axId val="2130211528"/>
      </c:barChart>
      <c:catAx>
        <c:axId val="2130208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200"/>
            </a:pPr>
            <a:endParaRPr lang="ru-RU"/>
          </a:p>
        </c:txPr>
        <c:crossAx val="2130211528"/>
        <c:crosses val="autoZero"/>
        <c:auto val="1"/>
        <c:lblAlgn val="ctr"/>
        <c:lblOffset val="100"/>
        <c:noMultiLvlLbl val="0"/>
      </c:catAx>
      <c:valAx>
        <c:axId val="213021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effectLst/>
        </c:spPr>
        <c:txPr>
          <a:bodyPr rot="-60000000" vert="horz"/>
          <a:lstStyle/>
          <a:p>
            <a:pPr>
              <a:defRPr sz="1200"/>
            </a:pPr>
            <a:endParaRPr lang="ru-RU"/>
          </a:p>
        </c:txPr>
        <c:crossAx val="2130208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'Финансовые показатели '!$C$1:$K$1</c:f>
              <c:strCache>
                <c:ptCount val="9"/>
                <c:pt idx="0">
                  <c:v>2021 г</c:v>
                </c:pt>
                <c:pt idx="1">
                  <c:v>2022 г</c:v>
                </c:pt>
                <c:pt idx="2">
                  <c:v>2023 г</c:v>
                </c:pt>
                <c:pt idx="3">
                  <c:v>2024 г</c:v>
                </c:pt>
                <c:pt idx="4">
                  <c:v>2025 г</c:v>
                </c:pt>
                <c:pt idx="5">
                  <c:v>2026 г</c:v>
                </c:pt>
                <c:pt idx="6">
                  <c:v>2027 г</c:v>
                </c:pt>
                <c:pt idx="7">
                  <c:v>2028 г</c:v>
                </c:pt>
                <c:pt idx="8">
                  <c:v>2029 г</c:v>
                </c:pt>
              </c:strCache>
            </c:strRef>
          </c:cat>
          <c:val>
            <c:numRef>
              <c:f>'Финансовые показатели '!$C$3:$K$3</c:f>
              <c:numCache>
                <c:formatCode>#,##0</c:formatCode>
                <c:ptCount val="9"/>
                <c:pt idx="0">
                  <c:v>-32790.320799999994</c:v>
                </c:pt>
                <c:pt idx="1">
                  <c:v>-4380.2319655399942</c:v>
                </c:pt>
                <c:pt idx="2">
                  <c:v>16875.442372596521</c:v>
                </c:pt>
                <c:pt idx="3">
                  <c:v>29168.633771000517</c:v>
                </c:pt>
                <c:pt idx="4">
                  <c:v>42520.264767945555</c:v>
                </c:pt>
                <c:pt idx="5">
                  <c:v>43507.248579523337</c:v>
                </c:pt>
                <c:pt idx="6">
                  <c:v>45521.717052661857</c:v>
                </c:pt>
                <c:pt idx="7">
                  <c:v>47981.300736414836</c:v>
                </c:pt>
                <c:pt idx="8">
                  <c:v>49886.266813428272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0-415D-B072-93F912498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543288"/>
        <c:axId val="2126056936"/>
      </c:lineChart>
      <c:catAx>
        <c:axId val="2125543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/>
                <a:cs typeface="Times New Roman"/>
              </a:defRPr>
            </a:pPr>
            <a:endParaRPr lang="ru-RU"/>
          </a:p>
        </c:txPr>
        <c:crossAx val="2126056936"/>
        <c:crosses val="autoZero"/>
        <c:auto val="1"/>
        <c:lblAlgn val="ctr"/>
        <c:lblOffset val="100"/>
        <c:noMultiLvlLbl val="0"/>
      </c:catAx>
      <c:valAx>
        <c:axId val="2126056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/>
                <a:cs typeface="Times New Roman"/>
              </a:defRPr>
            </a:pPr>
            <a:endParaRPr lang="ru-RU"/>
          </a:p>
        </c:txPr>
        <c:crossAx val="2125543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'Финансовые показатели '!$C$1:$K$1</c:f>
              <c:strCache>
                <c:ptCount val="9"/>
                <c:pt idx="0">
                  <c:v>2021 г</c:v>
                </c:pt>
                <c:pt idx="1">
                  <c:v>2022 г</c:v>
                </c:pt>
                <c:pt idx="2">
                  <c:v>2023 г</c:v>
                </c:pt>
                <c:pt idx="3">
                  <c:v>2024 г</c:v>
                </c:pt>
                <c:pt idx="4">
                  <c:v>2025 г</c:v>
                </c:pt>
                <c:pt idx="5">
                  <c:v>2026 г</c:v>
                </c:pt>
                <c:pt idx="6">
                  <c:v>2027 г</c:v>
                </c:pt>
                <c:pt idx="7">
                  <c:v>2028 г</c:v>
                </c:pt>
                <c:pt idx="8">
                  <c:v>2029 г</c:v>
                </c:pt>
              </c:strCache>
            </c:strRef>
          </c:cat>
          <c:val>
            <c:numRef>
              <c:f>'Финансовые показатели '!$C$2:$K$2</c:f>
              <c:numCache>
                <c:formatCode>0.0</c:formatCode>
                <c:ptCount val="9"/>
                <c:pt idx="0">
                  <c:v>0.22012740680272111</c:v>
                </c:pt>
                <c:pt idx="1">
                  <c:v>0.36433927096237051</c:v>
                </c:pt>
                <c:pt idx="2">
                  <c:v>0.80674385836111162</c:v>
                </c:pt>
                <c:pt idx="3">
                  <c:v>1.5339495348891858</c:v>
                </c:pt>
                <c:pt idx="4">
                  <c:v>2.6859801519852331</c:v>
                </c:pt>
                <c:pt idx="5">
                  <c:v>4.2446339769695891</c:v>
                </c:pt>
                <c:pt idx="6">
                  <c:v>6.4790263088675113</c:v>
                </c:pt>
                <c:pt idx="7">
                  <c:v>9.916589395093915</c:v>
                </c:pt>
                <c:pt idx="8">
                  <c:v>15.76085616144505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E-45F4-8B3E-4D102FA78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814824"/>
        <c:axId val="2126020872"/>
      </c:lineChart>
      <c:catAx>
        <c:axId val="2111814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/>
                <a:cs typeface="Times New Roman"/>
              </a:defRPr>
            </a:pPr>
            <a:endParaRPr lang="ru-RU"/>
          </a:p>
        </c:txPr>
        <c:crossAx val="2126020872"/>
        <c:crosses val="autoZero"/>
        <c:auto val="1"/>
        <c:lblAlgn val="ctr"/>
        <c:lblOffset val="100"/>
        <c:noMultiLvlLbl val="0"/>
      </c:catAx>
      <c:valAx>
        <c:axId val="21260208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/>
                <a:cs typeface="Times New Roman"/>
              </a:defRPr>
            </a:pPr>
            <a:endParaRPr lang="ru-RU"/>
          </a:p>
        </c:txPr>
        <c:crossAx val="2111814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'Отчет о движении денежных средс'!$C$37:$K$37</c:f>
              <c:strCache>
                <c:ptCount val="9"/>
                <c:pt idx="0">
                  <c:v>2021 г</c:v>
                </c:pt>
                <c:pt idx="1">
                  <c:v>2022 г</c:v>
                </c:pt>
                <c:pt idx="2">
                  <c:v>2023 г</c:v>
                </c:pt>
                <c:pt idx="3">
                  <c:v>2024 г</c:v>
                </c:pt>
                <c:pt idx="4">
                  <c:v>2025 г</c:v>
                </c:pt>
                <c:pt idx="5">
                  <c:v>2026 г</c:v>
                </c:pt>
                <c:pt idx="6">
                  <c:v>2027 г</c:v>
                </c:pt>
                <c:pt idx="7">
                  <c:v>2028 г</c:v>
                </c:pt>
                <c:pt idx="8">
                  <c:v>2029 г</c:v>
                </c:pt>
              </c:strCache>
            </c:strRef>
          </c:cat>
          <c:val>
            <c:numRef>
              <c:f>'Отчет о движении денежных средс'!$C$39:$K$39</c:f>
              <c:numCache>
                <c:formatCode>#,##0</c:formatCode>
                <c:ptCount val="9"/>
                <c:pt idx="0">
                  <c:v>-27007.956460176993</c:v>
                </c:pt>
                <c:pt idx="1">
                  <c:v>3032.3643468243445</c:v>
                </c:pt>
                <c:pt idx="2">
                  <c:v>17368.497053217605</c:v>
                </c:pt>
                <c:pt idx="3">
                  <c:v>22868.108664328851</c:v>
                </c:pt>
                <c:pt idx="4">
                  <c:v>27446.040007024734</c:v>
                </c:pt>
                <c:pt idx="5">
                  <c:v>24721.01919914192</c:v>
                </c:pt>
                <c:pt idx="6">
                  <c:v>22683.016677170781</c:v>
                </c:pt>
                <c:pt idx="7">
                  <c:v>20970.481483915904</c:v>
                </c:pt>
                <c:pt idx="8">
                  <c:v>19166.556708756973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F-CF46-8494-86BBA544B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453135"/>
        <c:axId val="2048288815"/>
      </c:lineChart>
      <c:catAx>
        <c:axId val="2048453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048288815"/>
        <c:crosses val="autoZero"/>
        <c:auto val="1"/>
        <c:lblAlgn val="ctr"/>
        <c:lblOffset val="100"/>
        <c:noMultiLvlLbl val="0"/>
      </c:catAx>
      <c:valAx>
        <c:axId val="2048288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048453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latin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Исходные!$A$65:$A$70</c:f>
              <c:strCache>
                <c:ptCount val="6"/>
                <c:pt idx="0">
                  <c:v>Агро ДКВ 1, кг</c:v>
                </c:pt>
                <c:pt idx="1">
                  <c:v>Агро ДКВ 2, кг</c:v>
                </c:pt>
                <c:pt idx="2">
                  <c:v>Агро ДКВ экспорт, кг</c:v>
                </c:pt>
                <c:pt idx="3">
                  <c:v>БАД диабет</c:v>
                </c:pt>
                <c:pt idx="4">
                  <c:v>БАД онко</c:v>
                </c:pt>
                <c:pt idx="5">
                  <c:v>БАД спорт</c:v>
                </c:pt>
              </c:strCache>
            </c:strRef>
          </c:cat>
          <c:val>
            <c:numRef>
              <c:f>Исходные!$K$65:$K$70</c:f>
              <c:numCache>
                <c:formatCode>#,##0</c:formatCode>
                <c:ptCount val="6"/>
                <c:pt idx="0">
                  <c:v>12465.498663374032</c:v>
                </c:pt>
                <c:pt idx="1">
                  <c:v>11493.978663374031</c:v>
                </c:pt>
                <c:pt idx="2">
                  <c:v>10296.293041971205</c:v>
                </c:pt>
                <c:pt idx="3">
                  <c:v>461580.62919635978</c:v>
                </c:pt>
                <c:pt idx="4">
                  <c:v>458380.62919635978</c:v>
                </c:pt>
                <c:pt idx="5">
                  <c:v>350385.47189726977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48-45AC-8708-E3550A09929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Исходные!$B$54:$J$54</c:f>
              <c:strCache>
                <c:ptCount val="9"/>
                <c:pt idx="0">
                  <c:v>2021 г.</c:v>
                </c:pt>
                <c:pt idx="1">
                  <c:v>2022 г.</c:v>
                </c:pt>
                <c:pt idx="2">
                  <c:v>2023 г.</c:v>
                </c:pt>
                <c:pt idx="3">
                  <c:v>2024 г.</c:v>
                </c:pt>
                <c:pt idx="4">
                  <c:v>2025 г.</c:v>
                </c:pt>
                <c:pt idx="5">
                  <c:v>2026 г.</c:v>
                </c:pt>
                <c:pt idx="6">
                  <c:v>2027 г.</c:v>
                </c:pt>
                <c:pt idx="7">
                  <c:v>2028 г.</c:v>
                </c:pt>
                <c:pt idx="8">
                  <c:v>2029 г.</c:v>
                </c:pt>
              </c:strCache>
            </c:strRef>
          </c:cat>
          <c:val>
            <c:numRef>
              <c:f>Исходные!$B$71:$J$71</c:f>
              <c:numCache>
                <c:formatCode>#,##0</c:formatCode>
                <c:ptCount val="9"/>
                <c:pt idx="0">
                  <c:v>34000</c:v>
                </c:pt>
                <c:pt idx="1">
                  <c:v>78144</c:v>
                </c:pt>
                <c:pt idx="2">
                  <c:v>107628.4</c:v>
                </c:pt>
                <c:pt idx="3">
                  <c:v>139535.96800000005</c:v>
                </c:pt>
                <c:pt idx="4">
                  <c:v>174022.86387200005</c:v>
                </c:pt>
                <c:pt idx="5">
                  <c:v>180983.77842688005</c:v>
                </c:pt>
                <c:pt idx="6">
                  <c:v>188223.12956395524</c:v>
                </c:pt>
                <c:pt idx="7">
                  <c:v>197090.37293915346</c:v>
                </c:pt>
                <c:pt idx="8">
                  <c:v>204973.98785671964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7-4CC0-9BFF-8164FFC22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186408"/>
        <c:axId val="2126189432"/>
      </c:barChart>
      <c:catAx>
        <c:axId val="2126186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Times New Roman"/>
                <a:cs typeface="Times New Roman"/>
              </a:defRPr>
            </a:pPr>
            <a:endParaRPr lang="ru-RU"/>
          </a:p>
        </c:txPr>
        <c:crossAx val="2126189432"/>
        <c:crosses val="autoZero"/>
        <c:auto val="1"/>
        <c:lblAlgn val="ctr"/>
        <c:lblOffset val="100"/>
        <c:noMultiLvlLbl val="0"/>
      </c:catAx>
      <c:valAx>
        <c:axId val="2126189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Times New Roman"/>
                <a:cs typeface="Times New Roman"/>
              </a:defRPr>
            </a:pPr>
            <a:endParaRPr lang="ru-RU"/>
          </a:p>
        </c:txPr>
        <c:crossAx val="2126186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'прогнозные показатели'!$C$17:$L$17</c:f>
              <c:strCache>
                <c:ptCount val="10"/>
                <c:pt idx="0">
                  <c:v>2020 г</c:v>
                </c:pt>
                <c:pt idx="1">
                  <c:v>2021 г</c:v>
                </c:pt>
                <c:pt idx="2">
                  <c:v>2022 г</c:v>
                </c:pt>
                <c:pt idx="3">
                  <c:v>2023 г</c:v>
                </c:pt>
                <c:pt idx="4">
                  <c:v>2024  г</c:v>
                </c:pt>
                <c:pt idx="5">
                  <c:v>2025 г</c:v>
                </c:pt>
                <c:pt idx="6">
                  <c:v>2026 г</c:v>
                </c:pt>
                <c:pt idx="7">
                  <c:v>2027 г</c:v>
                </c:pt>
                <c:pt idx="8">
                  <c:v>2028 г</c:v>
                </c:pt>
                <c:pt idx="9">
                  <c:v>2029 г</c:v>
                </c:pt>
              </c:strCache>
            </c:strRef>
          </c:cat>
          <c:val>
            <c:numRef>
              <c:f>'прогнозные показатели'!$C$21:$L$21</c:f>
              <c:numCache>
                <c:formatCode>#,##0.00</c:formatCode>
                <c:ptCount val="10"/>
                <c:pt idx="0">
                  <c:v>-125007.956460177</c:v>
                </c:pt>
                <c:pt idx="1">
                  <c:v>-121975.59211335266</c:v>
                </c:pt>
                <c:pt idx="2">
                  <c:v>-104607.09506013505</c:v>
                </c:pt>
                <c:pt idx="3">
                  <c:v>-81738.986395806191</c:v>
                </c:pt>
                <c:pt idx="4">
                  <c:v>-54292.946388781456</c:v>
                </c:pt>
                <c:pt idx="5">
                  <c:v>-29571.927189639537</c:v>
                </c:pt>
                <c:pt idx="6">
                  <c:v>-6888.9105124687558</c:v>
                </c:pt>
                <c:pt idx="7">
                  <c:v>14081.570971447149</c:v>
                </c:pt>
                <c:pt idx="8">
                  <c:v>33248.127680204125</c:v>
                </c:pt>
                <c:pt idx="9">
                  <c:v>33248.127680204125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5-4A0F-AD31-74C6D2FB4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983864"/>
        <c:axId val="2110828056"/>
      </c:lineChart>
      <c:catAx>
        <c:axId val="2125983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/>
                <a:cs typeface="Times New Roman"/>
              </a:defRPr>
            </a:pPr>
            <a:endParaRPr lang="ru-RU"/>
          </a:p>
        </c:txPr>
        <c:crossAx val="2110828056"/>
        <c:crosses val="autoZero"/>
        <c:auto val="1"/>
        <c:lblAlgn val="ctr"/>
        <c:lblOffset val="100"/>
        <c:noMultiLvlLbl val="0"/>
      </c:catAx>
      <c:valAx>
        <c:axId val="2110828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/>
                <a:cs typeface="Times New Roman"/>
              </a:defRPr>
            </a:pPr>
            <a:endParaRPr lang="ru-RU"/>
          </a:p>
        </c:txPr>
        <c:crossAx val="2125983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'Устойчивость '!$A$4</c:f>
              <c:strCache>
                <c:ptCount val="1"/>
                <c:pt idx="0">
                  <c:v>Объем сбыта </c:v>
                </c:pt>
              </c:strCache>
            </c:strRef>
          </c:tx>
          <c:cat>
            <c:numRef>
              <c:f>'Устойчивость '!$B$2:$H$2</c:f>
              <c:numCache>
                <c:formatCode>0%</c:formatCode>
                <c:ptCount val="7"/>
                <c:pt idx="0">
                  <c:v>-0.3</c:v>
                </c:pt>
                <c:pt idx="1">
                  <c:v>-0.2</c:v>
                </c:pt>
                <c:pt idx="2">
                  <c:v>-0.1</c:v>
                </c:pt>
                <c:pt idx="3">
                  <c:v>0</c:v>
                </c:pt>
                <c:pt idx="4">
                  <c:v>0.1</c:v>
                </c:pt>
                <c:pt idx="5">
                  <c:v>0.2</c:v>
                </c:pt>
                <c:pt idx="6">
                  <c:v>0.3</c:v>
                </c:pt>
              </c:numCache>
            </c:numRef>
          </c:cat>
          <c:val>
            <c:numRef>
              <c:f>'Устойчивость '!$B$4:$H$4</c:f>
              <c:numCache>
                <c:formatCode>General</c:formatCode>
                <c:ptCount val="7"/>
                <c:pt idx="2">
                  <c:v>69</c:v>
                </c:pt>
                <c:pt idx="3">
                  <c:v>62</c:v>
                </c:pt>
                <c:pt idx="4">
                  <c:v>58</c:v>
                </c:pt>
                <c:pt idx="5">
                  <c:v>54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2-4117-9A39-1447FDDE580C}"/>
            </c:ext>
          </c:extLst>
        </c:ser>
        <c:ser>
          <c:idx val="1"/>
          <c:order val="1"/>
          <c:tx>
            <c:strRef>
              <c:f>'Устойчивость '!$A$5</c:f>
              <c:strCache>
                <c:ptCount val="1"/>
                <c:pt idx="0">
                  <c:v>Цена сбыта</c:v>
                </c:pt>
              </c:strCache>
            </c:strRef>
          </c:tx>
          <c:cat>
            <c:numRef>
              <c:f>'Устойчивость '!$B$2:$H$2</c:f>
              <c:numCache>
                <c:formatCode>0%</c:formatCode>
                <c:ptCount val="7"/>
                <c:pt idx="0">
                  <c:v>-0.3</c:v>
                </c:pt>
                <c:pt idx="1">
                  <c:v>-0.2</c:v>
                </c:pt>
                <c:pt idx="2">
                  <c:v>-0.1</c:v>
                </c:pt>
                <c:pt idx="3">
                  <c:v>0</c:v>
                </c:pt>
                <c:pt idx="4">
                  <c:v>0.1</c:v>
                </c:pt>
                <c:pt idx="5">
                  <c:v>0.2</c:v>
                </c:pt>
                <c:pt idx="6">
                  <c:v>0.3</c:v>
                </c:pt>
              </c:numCache>
            </c:numRef>
          </c:cat>
          <c:val>
            <c:numRef>
              <c:f>'Устойчивость '!$B$5:$H$5</c:f>
              <c:numCache>
                <c:formatCode>General</c:formatCode>
                <c:ptCount val="7"/>
                <c:pt idx="3">
                  <c:v>62</c:v>
                </c:pt>
                <c:pt idx="4">
                  <c:v>54</c:v>
                </c:pt>
                <c:pt idx="5">
                  <c:v>49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2-4117-9A39-1447FDDE580C}"/>
            </c:ext>
          </c:extLst>
        </c:ser>
        <c:ser>
          <c:idx val="2"/>
          <c:order val="2"/>
          <c:tx>
            <c:strRef>
              <c:f>'Устойчивость '!$A$6</c:f>
              <c:strCache>
                <c:ptCount val="1"/>
                <c:pt idx="0">
                  <c:v>Общие издержки</c:v>
                </c:pt>
              </c:strCache>
            </c:strRef>
          </c:tx>
          <c:cat>
            <c:numRef>
              <c:f>'Устойчивость '!$B$2:$H$2</c:f>
              <c:numCache>
                <c:formatCode>0%</c:formatCode>
                <c:ptCount val="7"/>
                <c:pt idx="0">
                  <c:v>-0.3</c:v>
                </c:pt>
                <c:pt idx="1">
                  <c:v>-0.2</c:v>
                </c:pt>
                <c:pt idx="2">
                  <c:v>-0.1</c:v>
                </c:pt>
                <c:pt idx="3">
                  <c:v>0</c:v>
                </c:pt>
                <c:pt idx="4">
                  <c:v>0.1</c:v>
                </c:pt>
                <c:pt idx="5">
                  <c:v>0.2</c:v>
                </c:pt>
                <c:pt idx="6">
                  <c:v>0.3</c:v>
                </c:pt>
              </c:numCache>
            </c:numRef>
          </c:cat>
          <c:val>
            <c:numRef>
              <c:f>'Устойчивость '!$B$6:$H$6</c:f>
              <c:numCache>
                <c:formatCode>General</c:formatCode>
                <c:ptCount val="7"/>
                <c:pt idx="0">
                  <c:v>56</c:v>
                </c:pt>
                <c:pt idx="1">
                  <c:v>58</c:v>
                </c:pt>
                <c:pt idx="2">
                  <c:v>60</c:v>
                </c:pt>
                <c:pt idx="3">
                  <c:v>62</c:v>
                </c:pt>
                <c:pt idx="4">
                  <c:v>65</c:v>
                </c:pt>
                <c:pt idx="5">
                  <c:v>67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2-4117-9A39-1447FDDE580C}"/>
            </c:ext>
          </c:extLst>
        </c:ser>
        <c:ser>
          <c:idx val="3"/>
          <c:order val="3"/>
          <c:tx>
            <c:strRef>
              <c:f>'Устойчивость '!$A$7</c:f>
              <c:strCache>
                <c:ptCount val="1"/>
                <c:pt idx="0">
                  <c:v>Прямые издержки</c:v>
                </c:pt>
              </c:strCache>
            </c:strRef>
          </c:tx>
          <c:cat>
            <c:numRef>
              <c:f>'Устойчивость '!$B$2:$H$2</c:f>
              <c:numCache>
                <c:formatCode>0%</c:formatCode>
                <c:ptCount val="7"/>
                <c:pt idx="0">
                  <c:v>-0.3</c:v>
                </c:pt>
                <c:pt idx="1">
                  <c:v>-0.2</c:v>
                </c:pt>
                <c:pt idx="2">
                  <c:v>-0.1</c:v>
                </c:pt>
                <c:pt idx="3">
                  <c:v>0</c:v>
                </c:pt>
                <c:pt idx="4">
                  <c:v>0.1</c:v>
                </c:pt>
                <c:pt idx="5">
                  <c:v>0.2</c:v>
                </c:pt>
                <c:pt idx="6">
                  <c:v>0.3</c:v>
                </c:pt>
              </c:numCache>
            </c:numRef>
          </c:cat>
          <c:val>
            <c:numRef>
              <c:f>'Устойчивость '!$B$7:$H$7</c:f>
              <c:numCache>
                <c:formatCode>General</c:formatCode>
                <c:ptCount val="7"/>
                <c:pt idx="0">
                  <c:v>57</c:v>
                </c:pt>
                <c:pt idx="1">
                  <c:v>53</c:v>
                </c:pt>
                <c:pt idx="2">
                  <c:v>57</c:v>
                </c:pt>
                <c:pt idx="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B-894F-B205-86F0FE42D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877224"/>
        <c:axId val="2128829176"/>
      </c:lineChart>
      <c:catAx>
        <c:axId val="212887722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/>
                <a:cs typeface="Times New Roman"/>
              </a:defRPr>
            </a:pPr>
            <a:endParaRPr lang="ru-RU"/>
          </a:p>
        </c:txPr>
        <c:crossAx val="2128829176"/>
        <c:crosses val="autoZero"/>
        <c:auto val="1"/>
        <c:lblAlgn val="ctr"/>
        <c:lblOffset val="100"/>
        <c:noMultiLvlLbl val="0"/>
      </c:catAx>
      <c:valAx>
        <c:axId val="2128829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/>
                <a:cs typeface="Times New Roman"/>
              </a:defRPr>
            </a:pPr>
            <a:endParaRPr lang="ru-RU"/>
          </a:p>
        </c:txPr>
        <c:crossAx val="21288772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 b="1">
              <a:latin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'Устойчивость '!$A$9</c:f>
              <c:strCache>
                <c:ptCount val="1"/>
                <c:pt idx="0">
                  <c:v>Объем  сбыта </c:v>
                </c:pt>
              </c:strCache>
            </c:strRef>
          </c:tx>
          <c:cat>
            <c:numRef>
              <c:f>'Устойчивость '!$B$2:$H$2</c:f>
              <c:numCache>
                <c:formatCode>0%</c:formatCode>
                <c:ptCount val="7"/>
                <c:pt idx="0">
                  <c:v>-0.3</c:v>
                </c:pt>
                <c:pt idx="1">
                  <c:v>-0.2</c:v>
                </c:pt>
                <c:pt idx="2">
                  <c:v>-0.1</c:v>
                </c:pt>
                <c:pt idx="3">
                  <c:v>0</c:v>
                </c:pt>
                <c:pt idx="4">
                  <c:v>0.1</c:v>
                </c:pt>
                <c:pt idx="5">
                  <c:v>0.2</c:v>
                </c:pt>
                <c:pt idx="6">
                  <c:v>0.3</c:v>
                </c:pt>
              </c:numCache>
            </c:numRef>
          </c:cat>
          <c:val>
            <c:numRef>
              <c:f>'Устойчивость '!$B$9:$H$9</c:f>
              <c:numCache>
                <c:formatCode>#,##0</c:formatCode>
                <c:ptCount val="7"/>
                <c:pt idx="0">
                  <c:v>-49378.233818578126</c:v>
                </c:pt>
                <c:pt idx="1">
                  <c:v>-21836.113318984044</c:v>
                </c:pt>
                <c:pt idx="2">
                  <c:v>5706.007180610035</c:v>
                </c:pt>
                <c:pt idx="3">
                  <c:v>33248.14</c:v>
                </c:pt>
                <c:pt idx="4">
                  <c:v>60790.248179798225</c:v>
                </c:pt>
                <c:pt idx="5">
                  <c:v>88332.368679392312</c:v>
                </c:pt>
                <c:pt idx="6">
                  <c:v>115874.48917898643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2-4436-A2AD-7033059CF72A}"/>
            </c:ext>
          </c:extLst>
        </c:ser>
        <c:ser>
          <c:idx val="1"/>
          <c:order val="1"/>
          <c:tx>
            <c:strRef>
              <c:f>'Устойчивость '!$A$10</c:f>
              <c:strCache>
                <c:ptCount val="1"/>
                <c:pt idx="0">
                  <c:v>Цена сбыта</c:v>
                </c:pt>
              </c:strCache>
            </c:strRef>
          </c:tx>
          <c:cat>
            <c:numRef>
              <c:f>'Устойчивость '!$B$2:$H$2</c:f>
              <c:numCache>
                <c:formatCode>0%</c:formatCode>
                <c:ptCount val="7"/>
                <c:pt idx="0">
                  <c:v>-0.3</c:v>
                </c:pt>
                <c:pt idx="1">
                  <c:v>-0.2</c:v>
                </c:pt>
                <c:pt idx="2">
                  <c:v>-0.1</c:v>
                </c:pt>
                <c:pt idx="3">
                  <c:v>0</c:v>
                </c:pt>
                <c:pt idx="4">
                  <c:v>0.1</c:v>
                </c:pt>
                <c:pt idx="5">
                  <c:v>0.2</c:v>
                </c:pt>
                <c:pt idx="6">
                  <c:v>0.3</c:v>
                </c:pt>
              </c:numCache>
            </c:numRef>
          </c:cat>
          <c:val>
            <c:numRef>
              <c:f>'Устойчивость '!$B$10:$H$10</c:f>
              <c:numCache>
                <c:formatCode>#,##0</c:formatCode>
                <c:ptCount val="7"/>
                <c:pt idx="0">
                  <c:v>-135096.07119092942</c:v>
                </c:pt>
                <c:pt idx="1">
                  <c:v>-78981.338233884861</c:v>
                </c:pt>
                <c:pt idx="2">
                  <c:v>-22866.605276840342</c:v>
                </c:pt>
                <c:pt idx="3">
                  <c:v>33248.14</c:v>
                </c:pt>
                <c:pt idx="4">
                  <c:v>89362.860637248668</c:v>
                </c:pt>
                <c:pt idx="5">
                  <c:v>145477.59359429314</c:v>
                </c:pt>
                <c:pt idx="6">
                  <c:v>201592.32655133767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2-4436-A2AD-7033059CF72A}"/>
            </c:ext>
          </c:extLst>
        </c:ser>
        <c:ser>
          <c:idx val="2"/>
          <c:order val="2"/>
          <c:tx>
            <c:strRef>
              <c:f>'Устойчивость '!$A$11</c:f>
              <c:strCache>
                <c:ptCount val="1"/>
                <c:pt idx="0">
                  <c:v>Общие издержки</c:v>
                </c:pt>
              </c:strCache>
            </c:strRef>
          </c:tx>
          <c:cat>
            <c:numRef>
              <c:f>'Устойчивость '!$B$2:$H$2</c:f>
              <c:numCache>
                <c:formatCode>0%</c:formatCode>
                <c:ptCount val="7"/>
                <c:pt idx="0">
                  <c:v>-0.3</c:v>
                </c:pt>
                <c:pt idx="1">
                  <c:v>-0.2</c:v>
                </c:pt>
                <c:pt idx="2">
                  <c:v>-0.1</c:v>
                </c:pt>
                <c:pt idx="3">
                  <c:v>0</c:v>
                </c:pt>
                <c:pt idx="4">
                  <c:v>0.1</c:v>
                </c:pt>
                <c:pt idx="5">
                  <c:v>0.2</c:v>
                </c:pt>
                <c:pt idx="6">
                  <c:v>0.3</c:v>
                </c:pt>
              </c:numCache>
            </c:numRef>
          </c:cat>
          <c:val>
            <c:numRef>
              <c:f>'Устойчивость '!$B$11:$H$11</c:f>
              <c:numCache>
                <c:formatCode>#,##0</c:formatCode>
                <c:ptCount val="7"/>
                <c:pt idx="0">
                  <c:v>59543.925255541668</c:v>
                </c:pt>
                <c:pt idx="1">
                  <c:v>50778.659397095798</c:v>
                </c:pt>
                <c:pt idx="2">
                  <c:v>42013.393538649943</c:v>
                </c:pt>
                <c:pt idx="3">
                  <c:v>33248.14</c:v>
                </c:pt>
                <c:pt idx="4">
                  <c:v>24482.861821758259</c:v>
                </c:pt>
                <c:pt idx="5">
                  <c:v>15717.595963312422</c:v>
                </c:pt>
                <c:pt idx="6">
                  <c:v>6952.3301048665962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A2-4436-A2AD-7033059CF72A}"/>
            </c:ext>
          </c:extLst>
        </c:ser>
        <c:ser>
          <c:idx val="3"/>
          <c:order val="3"/>
          <c:tx>
            <c:strRef>
              <c:f>'Устойчивость '!$A$12</c:f>
              <c:strCache>
                <c:ptCount val="1"/>
                <c:pt idx="0">
                  <c:v>Прямые издержки </c:v>
                </c:pt>
              </c:strCache>
            </c:strRef>
          </c:tx>
          <c:cat>
            <c:numRef>
              <c:f>'Устойчивость '!$B$2:$H$2</c:f>
              <c:numCache>
                <c:formatCode>0%</c:formatCode>
                <c:ptCount val="7"/>
                <c:pt idx="0">
                  <c:v>-0.3</c:v>
                </c:pt>
                <c:pt idx="1">
                  <c:v>-0.2</c:v>
                </c:pt>
                <c:pt idx="2">
                  <c:v>-0.1</c:v>
                </c:pt>
                <c:pt idx="3">
                  <c:v>0</c:v>
                </c:pt>
                <c:pt idx="4">
                  <c:v>0.1</c:v>
                </c:pt>
                <c:pt idx="5">
                  <c:v>0.2</c:v>
                </c:pt>
                <c:pt idx="6">
                  <c:v>0.3</c:v>
                </c:pt>
              </c:numCache>
            </c:numRef>
          </c:cat>
          <c:val>
            <c:numRef>
              <c:f>'Устойчивость '!$B$12:$H$12</c:f>
              <c:numCache>
                <c:formatCode>#,##0</c:formatCode>
                <c:ptCount val="7"/>
                <c:pt idx="0">
                  <c:v>67495.250683333143</c:v>
                </c:pt>
                <c:pt idx="1">
                  <c:v>101742.37368646215</c:v>
                </c:pt>
                <c:pt idx="2">
                  <c:v>67495.250683333143</c:v>
                </c:pt>
                <c:pt idx="3">
                  <c:v>33248.14</c:v>
                </c:pt>
                <c:pt idx="4">
                  <c:v>-998.99532292493677</c:v>
                </c:pt>
                <c:pt idx="5">
                  <c:v>-35246.118326053918</c:v>
                </c:pt>
                <c:pt idx="6">
                  <c:v>-69493.241329182973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A2-4436-A2AD-7033059CF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651608"/>
        <c:axId val="2125777416"/>
      </c:lineChart>
      <c:catAx>
        <c:axId val="2125651608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2125777416"/>
        <c:crosses val="autoZero"/>
        <c:auto val="1"/>
        <c:lblAlgn val="ctr"/>
        <c:lblOffset val="100"/>
        <c:noMultiLvlLbl val="0"/>
      </c:catAx>
      <c:valAx>
        <c:axId val="2125777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256516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 b="1">
              <a:latin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 paperSize="9" orientation="portrait" horizontalDpi="-3" verticalDpi="-3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'Анализ безубыточности'!$B$3:$J$3</c:f>
              <c:strCache>
                <c:ptCount val="9"/>
                <c:pt idx="0">
                  <c:v>2021 г</c:v>
                </c:pt>
                <c:pt idx="1">
                  <c:v>2022 г</c:v>
                </c:pt>
                <c:pt idx="2">
                  <c:v>2023 г</c:v>
                </c:pt>
                <c:pt idx="3">
                  <c:v>2024 г</c:v>
                </c:pt>
                <c:pt idx="4">
                  <c:v>2025 г</c:v>
                </c:pt>
                <c:pt idx="5">
                  <c:v>2026 г</c:v>
                </c:pt>
                <c:pt idx="6">
                  <c:v>2027 г</c:v>
                </c:pt>
                <c:pt idx="7">
                  <c:v>2028 г</c:v>
                </c:pt>
                <c:pt idx="8">
                  <c:v>2029 г</c:v>
                </c:pt>
              </c:strCache>
            </c:strRef>
          </c:cat>
          <c:val>
            <c:numRef>
              <c:f>'Анализ безубыточности'!$B$10:$J$10</c:f>
              <c:numCache>
                <c:formatCode>0%</c:formatCode>
                <c:ptCount val="9"/>
                <c:pt idx="0">
                  <c:v>0</c:v>
                </c:pt>
                <c:pt idx="1">
                  <c:v>0.70297570127961384</c:v>
                </c:pt>
                <c:pt idx="2">
                  <c:v>0.89471031502123188</c:v>
                </c:pt>
                <c:pt idx="3">
                  <c:v>0.91489295858664765</c:v>
                </c:pt>
                <c:pt idx="4">
                  <c:v>0.88732751449119229</c:v>
                </c:pt>
                <c:pt idx="5">
                  <c:v>0.92674168887046493</c:v>
                </c:pt>
                <c:pt idx="6">
                  <c:v>0.92713701298674611</c:v>
                </c:pt>
                <c:pt idx="7">
                  <c:v>0.92694688513318868</c:v>
                </c:pt>
                <c:pt idx="8">
                  <c:v>0.92625084003894631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C-4921-A844-302178018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215320"/>
        <c:axId val="2130324680"/>
      </c:lineChart>
      <c:catAx>
        <c:axId val="2130215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2130324680"/>
        <c:crosses val="autoZero"/>
        <c:auto val="1"/>
        <c:lblAlgn val="ctr"/>
        <c:lblOffset val="100"/>
        <c:noMultiLvlLbl val="0"/>
      </c:catAx>
      <c:valAx>
        <c:axId val="21303246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Times New Roman"/>
                <a:cs typeface="Times New Roman"/>
              </a:defRPr>
            </a:pPr>
            <a:endParaRPr lang="ru-RU"/>
          </a:p>
        </c:txPr>
        <c:crossAx val="2130215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'Анализ безубыточности'!$B$3:$J$3</c:f>
              <c:strCache>
                <c:ptCount val="9"/>
                <c:pt idx="0">
                  <c:v>2021 г</c:v>
                </c:pt>
                <c:pt idx="1">
                  <c:v>2022 г</c:v>
                </c:pt>
                <c:pt idx="2">
                  <c:v>2023 г</c:v>
                </c:pt>
                <c:pt idx="3">
                  <c:v>2024 г</c:v>
                </c:pt>
                <c:pt idx="4">
                  <c:v>2025 г</c:v>
                </c:pt>
                <c:pt idx="5">
                  <c:v>2026 г</c:v>
                </c:pt>
                <c:pt idx="6">
                  <c:v>2027 г</c:v>
                </c:pt>
                <c:pt idx="7">
                  <c:v>2028 г</c:v>
                </c:pt>
                <c:pt idx="8">
                  <c:v>2029 г</c:v>
                </c:pt>
              </c:strCache>
            </c:strRef>
          </c:cat>
          <c:val>
            <c:numRef>
              <c:f>'Анализ безубыточности'!$B$8:$J$8</c:f>
              <c:numCache>
                <c:formatCode>0</c:formatCode>
                <c:ptCount val="9"/>
                <c:pt idx="0">
                  <c:v>61110.81662202657</c:v>
                </c:pt>
                <c:pt idx="1">
                  <c:v>23210.666799205857</c:v>
                </c:pt>
                <c:pt idx="2">
                  <c:v>11332.160330768853</c:v>
                </c:pt>
                <c:pt idx="3">
                  <c:v>11875.493407228223</c:v>
                </c:pt>
                <c:pt idx="4">
                  <c:v>19607.588607819154</c:v>
                </c:pt>
                <c:pt idx="5">
                  <c:v>13258.56594939521</c:v>
                </c:pt>
                <c:pt idx="6">
                  <c:v>13714.499445012478</c:v>
                </c:pt>
                <c:pt idx="7">
                  <c:v>14398.065653466638</c:v>
                </c:pt>
                <c:pt idx="8">
                  <c:v>15116.659418300278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7-432C-BC2E-D96B3E9BB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7182920"/>
        <c:axId val="-2147179864"/>
      </c:barChart>
      <c:catAx>
        <c:axId val="-2147182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/>
                <a:cs typeface="Times New Roman"/>
              </a:defRPr>
            </a:pPr>
            <a:endParaRPr lang="ru-RU"/>
          </a:p>
        </c:txPr>
        <c:crossAx val="-2147179864"/>
        <c:crosses val="autoZero"/>
        <c:auto val="1"/>
        <c:lblAlgn val="ctr"/>
        <c:lblOffset val="100"/>
        <c:noMultiLvlLbl val="0"/>
      </c:catAx>
      <c:valAx>
        <c:axId val="-21471798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/>
                <a:cs typeface="Times New Roman"/>
              </a:defRPr>
            </a:pPr>
            <a:endParaRPr lang="ru-RU"/>
          </a:p>
        </c:txPr>
        <c:crossAx val="-2147182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'Анализ безубыточности'!$B$3:$J$3</c:f>
              <c:strCache>
                <c:ptCount val="9"/>
                <c:pt idx="0">
                  <c:v>2021 г</c:v>
                </c:pt>
                <c:pt idx="1">
                  <c:v>2022 г</c:v>
                </c:pt>
                <c:pt idx="2">
                  <c:v>2023 г</c:v>
                </c:pt>
                <c:pt idx="3">
                  <c:v>2024 г</c:v>
                </c:pt>
                <c:pt idx="4">
                  <c:v>2025 г</c:v>
                </c:pt>
                <c:pt idx="5">
                  <c:v>2026 г</c:v>
                </c:pt>
                <c:pt idx="6">
                  <c:v>2027 г</c:v>
                </c:pt>
                <c:pt idx="7">
                  <c:v>2028 г</c:v>
                </c:pt>
                <c:pt idx="8">
                  <c:v>2029 г</c:v>
                </c:pt>
              </c:strCache>
            </c:strRef>
          </c:cat>
          <c:val>
            <c:numRef>
              <c:f>'Анализ безубыточности'!$B$9:$J$9</c:f>
              <c:numCache>
                <c:formatCode>0</c:formatCode>
                <c:ptCount val="9"/>
                <c:pt idx="0">
                  <c:v>95110.81662202657</c:v>
                </c:pt>
                <c:pt idx="1">
                  <c:v>54933.333200794143</c:v>
                </c:pt>
                <c:pt idx="2">
                  <c:v>96296.239669231145</c:v>
                </c:pt>
                <c:pt idx="3">
                  <c:v>127660.47459277183</c:v>
                </c:pt>
                <c:pt idx="4">
                  <c:v>154415.27526418091</c:v>
                </c:pt>
                <c:pt idx="5">
                  <c:v>167725.21247748483</c:v>
                </c:pt>
                <c:pt idx="6">
                  <c:v>174508.63011894276</c:v>
                </c:pt>
                <c:pt idx="7">
                  <c:v>182692.30728568681</c:v>
                </c:pt>
                <c:pt idx="8">
                  <c:v>189857.32843841935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8-4C16-ADE8-4C57220D4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6615912"/>
        <c:axId val="-2146612824"/>
      </c:barChart>
      <c:catAx>
        <c:axId val="-2146615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/>
                <a:cs typeface="Times New Roman"/>
              </a:defRPr>
            </a:pPr>
            <a:endParaRPr lang="ru-RU"/>
          </a:p>
        </c:txPr>
        <c:crossAx val="-2146612824"/>
        <c:crosses val="autoZero"/>
        <c:auto val="1"/>
        <c:lblAlgn val="ctr"/>
        <c:lblOffset val="100"/>
        <c:noMultiLvlLbl val="0"/>
      </c:catAx>
      <c:valAx>
        <c:axId val="-21466128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/>
                <a:cs typeface="Times New Roman"/>
              </a:defRPr>
            </a:pPr>
            <a:endParaRPr lang="ru-RU"/>
          </a:p>
        </c:txPr>
        <c:crossAx val="-2146615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457201</xdr:colOff>
      <xdr:row>70</xdr:row>
      <xdr:rowOff>0</xdr:rowOff>
    </xdr:from>
    <xdr:to>
      <xdr:col>35</xdr:col>
      <xdr:colOff>618210</xdr:colOff>
      <xdr:row>105</xdr:row>
      <xdr:rowOff>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523875</xdr:colOff>
      <xdr:row>35</xdr:row>
      <xdr:rowOff>180975</xdr:rowOff>
    </xdr:from>
    <xdr:to>
      <xdr:col>17</xdr:col>
      <xdr:colOff>1041400</xdr:colOff>
      <xdr:row>51</xdr:row>
      <xdr:rowOff>149225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158750</xdr:colOff>
      <xdr:row>71</xdr:row>
      <xdr:rowOff>63500</xdr:rowOff>
    </xdr:from>
    <xdr:to>
      <xdr:col>20</xdr:col>
      <xdr:colOff>0</xdr:colOff>
      <xdr:row>91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3586</xdr:colOff>
      <xdr:row>27</xdr:row>
      <xdr:rowOff>50203</xdr:rowOff>
    </xdr:from>
    <xdr:to>
      <xdr:col>5</xdr:col>
      <xdr:colOff>484094</xdr:colOff>
      <xdr:row>48</xdr:row>
      <xdr:rowOff>141643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325642</xdr:colOff>
      <xdr:row>0</xdr:row>
      <xdr:rowOff>113974</xdr:rowOff>
    </xdr:from>
    <xdr:to>
      <xdr:col>20</xdr:col>
      <xdr:colOff>423333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180730</xdr:colOff>
      <xdr:row>31</xdr:row>
      <xdr:rowOff>146538</xdr:rowOff>
    </xdr:from>
    <xdr:to>
      <xdr:col>19</xdr:col>
      <xdr:colOff>309358</xdr:colOff>
      <xdr:row>59</xdr:row>
      <xdr:rowOff>97693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410634</xdr:colOff>
      <xdr:row>29</xdr:row>
      <xdr:rowOff>21166</xdr:rowOff>
    </xdr:from>
    <xdr:to>
      <xdr:col>32</xdr:col>
      <xdr:colOff>664634</xdr:colOff>
      <xdr:row>51</xdr:row>
      <xdr:rowOff>152399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584200</xdr:colOff>
      <xdr:row>3</xdr:row>
      <xdr:rowOff>152400</xdr:rowOff>
    </xdr:from>
    <xdr:to>
      <xdr:col>33</xdr:col>
      <xdr:colOff>38100</xdr:colOff>
      <xdr:row>23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266700</xdr:colOff>
      <xdr:row>17</xdr:row>
      <xdr:rowOff>139700</xdr:rowOff>
    </xdr:from>
    <xdr:to>
      <xdr:col>22</xdr:col>
      <xdr:colOff>431800</xdr:colOff>
      <xdr:row>39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296333</xdr:colOff>
      <xdr:row>47</xdr:row>
      <xdr:rowOff>1</xdr:rowOff>
    </xdr:from>
    <xdr:to>
      <xdr:col>20</xdr:col>
      <xdr:colOff>135468</xdr:colOff>
      <xdr:row>68</xdr:row>
      <xdr:rowOff>169334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336550</xdr:colOff>
      <xdr:row>3</xdr:row>
      <xdr:rowOff>101600</xdr:rowOff>
    </xdr:from>
    <xdr:to>
      <xdr:col>22</xdr:col>
      <xdr:colOff>647700</xdr:colOff>
      <xdr:row>24</xdr:row>
      <xdr:rowOff>114300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3835400</xdr:colOff>
      <xdr:row>20</xdr:row>
      <xdr:rowOff>88900</xdr:rowOff>
    </xdr:from>
    <xdr:to>
      <xdr:col>8</xdr:col>
      <xdr:colOff>508000</xdr:colOff>
      <xdr:row>43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279400</xdr:colOff>
      <xdr:row>21</xdr:row>
      <xdr:rowOff>50800</xdr:rowOff>
    </xdr:from>
    <xdr:to>
      <xdr:col>16</xdr:col>
      <xdr:colOff>38100</xdr:colOff>
      <xdr:row>38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1212850</xdr:colOff>
      <xdr:row>45</xdr:row>
      <xdr:rowOff>158750</xdr:rowOff>
    </xdr:from>
    <xdr:to>
      <xdr:col>10</xdr:col>
      <xdr:colOff>711200</xdr:colOff>
      <xdr:row>69</xdr:row>
      <xdr:rowOff>127000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4FA7A33-ACD7-F04D-BFC2-2C5FE3B08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4"/>
  <dimension ref="A1:AE227"/>
  <sheetViews>
    <sheetView topLeftCell="A91" zoomScale="80" zoomScaleNormal="80" workbookViewId="0">
      <pane xSplit="1" topLeftCell="J1" activePane="topRight" state="frozen"/>
      <selection activeCell="A20" sqref="A20"/>
      <selection pane="topRight" activeCell="L109" sqref="L109"/>
    </sheetView>
  </sheetViews>
  <sheetFormatPr baseColWidth="10" defaultColWidth="8.83203125" defaultRowHeight="15"/>
  <cols>
    <col min="1" max="1" width="68.6640625" customWidth="1"/>
    <col min="2" max="2" width="15.6640625" customWidth="1"/>
    <col min="3" max="3" width="17.1640625" customWidth="1"/>
    <col min="4" max="4" width="21.83203125" bestFit="1" customWidth="1"/>
    <col min="5" max="5" width="15.5" bestFit="1" customWidth="1"/>
    <col min="6" max="6" width="19.6640625" customWidth="1"/>
    <col min="7" max="7" width="15.83203125" customWidth="1"/>
    <col min="8" max="8" width="15.5" style="24" customWidth="1"/>
    <col min="9" max="9" width="18.5" customWidth="1"/>
    <col min="10" max="10" width="21.5" style="24" customWidth="1"/>
    <col min="11" max="11" width="29.1640625" customWidth="1"/>
    <col min="12" max="12" width="14.83203125" customWidth="1"/>
    <col min="13" max="13" width="15.83203125" customWidth="1"/>
    <col min="14" max="14" width="13.6640625" customWidth="1"/>
    <col min="15" max="16" width="16" customWidth="1"/>
    <col min="17" max="17" width="14.5" bestFit="1" customWidth="1"/>
    <col min="18" max="18" width="19" customWidth="1"/>
    <col min="19" max="19" width="15.1640625" customWidth="1"/>
    <col min="20" max="20" width="15.33203125" customWidth="1"/>
    <col min="21" max="23" width="11.83203125" bestFit="1" customWidth="1"/>
    <col min="24" max="24" width="13.33203125" customWidth="1"/>
  </cols>
  <sheetData>
    <row r="1" spans="1:20" s="54" customFormat="1" ht="19">
      <c r="A1" s="91" t="s">
        <v>122</v>
      </c>
      <c r="B1" s="117"/>
      <c r="C1" s="315">
        <v>1.04</v>
      </c>
      <c r="E1" s="315"/>
      <c r="F1" s="328"/>
    </row>
    <row r="2" spans="1:20" ht="18">
      <c r="A2" s="279" t="s">
        <v>65</v>
      </c>
      <c r="B2" s="279">
        <v>2021</v>
      </c>
      <c r="C2" s="279">
        <v>2022</v>
      </c>
      <c r="D2" s="279">
        <v>2023</v>
      </c>
      <c r="E2" s="279">
        <v>2024</v>
      </c>
      <c r="F2" s="279">
        <v>2025</v>
      </c>
      <c r="G2" s="279">
        <v>2026</v>
      </c>
      <c r="H2" s="279">
        <v>2027</v>
      </c>
      <c r="I2" s="279">
        <v>2028</v>
      </c>
      <c r="J2" s="279">
        <v>2029</v>
      </c>
    </row>
    <row r="3" spans="1:20" ht="18">
      <c r="A3" s="357" t="s">
        <v>246</v>
      </c>
      <c r="B3" s="332">
        <v>0</v>
      </c>
      <c r="C3" s="331">
        <v>200</v>
      </c>
      <c r="D3" s="331">
        <f>$C$1*C3</f>
        <v>208</v>
      </c>
      <c r="E3" s="331">
        <f t="shared" ref="E3:J3" si="0">$C$1*D3</f>
        <v>216.32</v>
      </c>
      <c r="F3" s="331">
        <f t="shared" si="0"/>
        <v>224.97280000000001</v>
      </c>
      <c r="G3" s="331">
        <f t="shared" si="0"/>
        <v>233.97171200000003</v>
      </c>
      <c r="H3" s="331">
        <f t="shared" si="0"/>
        <v>243.33058048000004</v>
      </c>
      <c r="I3" s="331">
        <f t="shared" si="0"/>
        <v>253.06380369920004</v>
      </c>
      <c r="J3" s="331">
        <f t="shared" si="0"/>
        <v>263.18635584716804</v>
      </c>
      <c r="L3" s="24"/>
      <c r="M3" s="24"/>
      <c r="N3" s="24"/>
      <c r="O3" s="24"/>
      <c r="P3" s="24"/>
      <c r="Q3" s="24"/>
      <c r="R3" s="24"/>
      <c r="S3" s="24"/>
      <c r="T3" s="24"/>
    </row>
    <row r="4" spans="1:20" ht="18">
      <c r="A4" s="358" t="s">
        <v>247</v>
      </c>
      <c r="B4" s="332">
        <v>0</v>
      </c>
      <c r="C4" s="331">
        <v>350</v>
      </c>
      <c r="D4" s="331">
        <f t="shared" ref="D4:J8" si="1">$C$1*C4</f>
        <v>364</v>
      </c>
      <c r="E4" s="331">
        <f t="shared" si="1"/>
        <v>378.56</v>
      </c>
      <c r="F4" s="331">
        <f t="shared" si="1"/>
        <v>393.70240000000001</v>
      </c>
      <c r="G4" s="331">
        <f t="shared" si="1"/>
        <v>409.45049600000004</v>
      </c>
      <c r="H4" s="331">
        <f t="shared" si="1"/>
        <v>425.82851584000008</v>
      </c>
      <c r="I4" s="331">
        <f t="shared" si="1"/>
        <v>442.86165647360008</v>
      </c>
      <c r="J4" s="331">
        <f t="shared" si="1"/>
        <v>460.57612273254409</v>
      </c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24" customFormat="1" ht="18">
      <c r="A5" s="358" t="s">
        <v>248</v>
      </c>
      <c r="B5" s="332">
        <v>0</v>
      </c>
      <c r="C5" s="331">
        <v>350</v>
      </c>
      <c r="D5" s="331">
        <f t="shared" si="1"/>
        <v>364</v>
      </c>
      <c r="E5" s="331">
        <f t="shared" si="1"/>
        <v>378.56</v>
      </c>
      <c r="F5" s="331">
        <f t="shared" si="1"/>
        <v>393.70240000000001</v>
      </c>
      <c r="G5" s="331">
        <f t="shared" si="1"/>
        <v>409.45049600000004</v>
      </c>
      <c r="H5" s="331">
        <f t="shared" si="1"/>
        <v>425.82851584000008</v>
      </c>
      <c r="I5" s="331">
        <f t="shared" si="1"/>
        <v>442.86165647360008</v>
      </c>
      <c r="J5" s="331">
        <f t="shared" si="1"/>
        <v>460.57612273254409</v>
      </c>
    </row>
    <row r="6" spans="1:20" s="24" customFormat="1" ht="18">
      <c r="A6" s="358" t="s">
        <v>249</v>
      </c>
      <c r="B6" s="332">
        <v>0</v>
      </c>
      <c r="C6" s="331">
        <v>200</v>
      </c>
      <c r="D6" s="331">
        <f t="shared" si="1"/>
        <v>208</v>
      </c>
      <c r="E6" s="331">
        <f t="shared" si="1"/>
        <v>216.32</v>
      </c>
      <c r="F6" s="331">
        <f t="shared" si="1"/>
        <v>224.97280000000001</v>
      </c>
      <c r="G6" s="331">
        <f t="shared" si="1"/>
        <v>233.97171200000003</v>
      </c>
      <c r="H6" s="331">
        <f t="shared" si="1"/>
        <v>243.33058048000004</v>
      </c>
      <c r="I6" s="331">
        <f t="shared" si="1"/>
        <v>253.06380369920004</v>
      </c>
      <c r="J6" s="331">
        <f t="shared" si="1"/>
        <v>263.18635584716804</v>
      </c>
    </row>
    <row r="7" spans="1:20" s="24" customFormat="1" ht="18">
      <c r="A7" s="358" t="s">
        <v>223</v>
      </c>
      <c r="B7" s="332">
        <v>0</v>
      </c>
      <c r="C7" s="331">
        <v>50</v>
      </c>
      <c r="D7" s="331">
        <f t="shared" si="1"/>
        <v>52</v>
      </c>
      <c r="E7" s="331">
        <f t="shared" si="1"/>
        <v>54.08</v>
      </c>
      <c r="F7" s="331">
        <f t="shared" si="1"/>
        <v>56.243200000000002</v>
      </c>
      <c r="G7" s="331">
        <f t="shared" si="1"/>
        <v>58.492928000000006</v>
      </c>
      <c r="H7" s="331">
        <f t="shared" si="1"/>
        <v>60.832645120000009</v>
      </c>
      <c r="I7" s="331">
        <f t="shared" si="1"/>
        <v>63.265950924800009</v>
      </c>
      <c r="J7" s="331">
        <f t="shared" si="1"/>
        <v>65.796588961792011</v>
      </c>
    </row>
    <row r="8" spans="1:20" s="24" customFormat="1" ht="18">
      <c r="A8" s="358" t="s">
        <v>224</v>
      </c>
      <c r="B8" s="332">
        <v>0</v>
      </c>
      <c r="C8" s="331">
        <v>50</v>
      </c>
      <c r="D8" s="331">
        <f t="shared" si="1"/>
        <v>52</v>
      </c>
      <c r="E8" s="331">
        <f t="shared" si="1"/>
        <v>54.08</v>
      </c>
      <c r="F8" s="331">
        <f t="shared" si="1"/>
        <v>56.243200000000002</v>
      </c>
      <c r="G8" s="331">
        <f t="shared" si="1"/>
        <v>58.492928000000006</v>
      </c>
      <c r="H8" s="331">
        <f t="shared" si="1"/>
        <v>60.832645120000009</v>
      </c>
      <c r="I8" s="331">
        <f t="shared" si="1"/>
        <v>63.265950924800009</v>
      </c>
      <c r="J8" s="331">
        <f t="shared" si="1"/>
        <v>65.796588961792011</v>
      </c>
    </row>
    <row r="9" spans="1:20" ht="18">
      <c r="A9" s="280" t="s">
        <v>44</v>
      </c>
      <c r="B9" s="331">
        <f>SUM(B3:B8)</f>
        <v>0</v>
      </c>
      <c r="C9" s="331">
        <f>SUM(C3:C8)</f>
        <v>1200</v>
      </c>
      <c r="D9" s="331">
        <f t="shared" ref="D9:J9" si="2">SUM(D3:D8)</f>
        <v>1248</v>
      </c>
      <c r="E9" s="331">
        <f t="shared" si="2"/>
        <v>1297.9199999999998</v>
      </c>
      <c r="F9" s="331">
        <f>SUM(F3:F8)</f>
        <v>1349.8368</v>
      </c>
      <c r="G9" s="331">
        <f t="shared" si="2"/>
        <v>1403.8302720000002</v>
      </c>
      <c r="H9" s="331">
        <f t="shared" si="2"/>
        <v>1459.9834828800003</v>
      </c>
      <c r="I9" s="331">
        <f t="shared" si="2"/>
        <v>1518.3828221952003</v>
      </c>
      <c r="J9" s="331">
        <f t="shared" si="2"/>
        <v>1579.1181350830082</v>
      </c>
    </row>
    <row r="11" spans="1:20" ht="2" customHeight="1">
      <c r="A11" s="53" t="s">
        <v>123</v>
      </c>
    </row>
    <row r="12" spans="1:20" s="24" customFormat="1" ht="19">
      <c r="A12" s="53"/>
      <c r="M12" s="90"/>
    </row>
    <row r="13" spans="1:20" s="24" customFormat="1" ht="19">
      <c r="A13" s="119" t="s">
        <v>322</v>
      </c>
      <c r="B13" s="110"/>
      <c r="C13" s="269"/>
      <c r="D13" s="269"/>
      <c r="E13" s="110"/>
      <c r="F13" s="110"/>
      <c r="G13" s="327"/>
      <c r="H13" s="56"/>
    </row>
    <row r="14" spans="1:20" ht="18">
      <c r="B14" s="110"/>
      <c r="C14" s="110"/>
      <c r="D14" s="110"/>
      <c r="E14" s="269"/>
      <c r="F14" s="269"/>
      <c r="G14" s="55"/>
      <c r="H14" s="55"/>
      <c r="I14" s="24"/>
    </row>
    <row r="15" spans="1:20" ht="18">
      <c r="A15" s="158" t="s">
        <v>153</v>
      </c>
      <c r="B15" s="158" t="s">
        <v>0</v>
      </c>
      <c r="C15" s="158" t="s">
        <v>66</v>
      </c>
      <c r="D15" s="158" t="s">
        <v>67</v>
      </c>
      <c r="E15" s="158" t="s">
        <v>68</v>
      </c>
      <c r="F15" s="158" t="s">
        <v>173</v>
      </c>
      <c r="G15" s="158" t="s">
        <v>174</v>
      </c>
      <c r="H15" s="158" t="s">
        <v>175</v>
      </c>
      <c r="I15" s="158" t="s">
        <v>176</v>
      </c>
      <c r="J15" s="158" t="s">
        <v>177</v>
      </c>
      <c r="K15" s="158" t="s">
        <v>178</v>
      </c>
    </row>
    <row r="16" spans="1:20" s="300" customFormat="1" ht="18">
      <c r="A16" s="92" t="s">
        <v>59</v>
      </c>
      <c r="B16" s="92"/>
      <c r="C16" s="118"/>
      <c r="D16" s="118"/>
      <c r="E16" s="118"/>
      <c r="F16" s="118"/>
      <c r="G16" s="92"/>
      <c r="H16" s="92"/>
      <c r="I16" s="299"/>
      <c r="J16" s="299"/>
      <c r="K16" s="299"/>
    </row>
    <row r="17" spans="1:25" s="300" customFormat="1" ht="18">
      <c r="A17" s="230" t="s">
        <v>1</v>
      </c>
      <c r="B17" s="301">
        <f>'Расчет ЗП'!D8</f>
        <v>4</v>
      </c>
      <c r="C17" s="248">
        <f>'Расчет ЗП'!I8</f>
        <v>2562.1907999999999</v>
      </c>
      <c r="D17" s="248">
        <f>'Расчет ЗП'!M8</f>
        <v>3511.1135123999998</v>
      </c>
      <c r="E17" s="248">
        <f>'Расчет ЗП'!Q8</f>
        <v>3728.8025501688003</v>
      </c>
      <c r="F17" s="248">
        <f>'Расчет ЗП'!U8</f>
        <v>3978.6323210301093</v>
      </c>
      <c r="G17" s="248">
        <f>'Расчет ЗП'!Y8</f>
        <v>4245.2006865391268</v>
      </c>
      <c r="H17" s="248">
        <f>'Расчет ЗП'!AC8</f>
        <v>4529.6291325372476</v>
      </c>
      <c r="I17" s="248">
        <f>'Расчет ЗП'!AG8</f>
        <v>4833.1142844172427</v>
      </c>
      <c r="J17" s="248">
        <f>'Расчет ЗП'!AK8</f>
        <v>5156.9329414731983</v>
      </c>
      <c r="K17" s="248">
        <f>'Расчет ЗП'!AO8</f>
        <v>5502.4474485519022</v>
      </c>
    </row>
    <row r="18" spans="1:25" s="300" customFormat="1" ht="18">
      <c r="A18" s="230" t="s">
        <v>198</v>
      </c>
      <c r="B18" s="92"/>
      <c r="C18" s="248"/>
      <c r="D18" s="248"/>
      <c r="E18" s="248"/>
      <c r="F18" s="248"/>
      <c r="G18" s="248"/>
      <c r="H18" s="248"/>
      <c r="I18" s="248"/>
      <c r="J18" s="248"/>
      <c r="K18" s="248"/>
    </row>
    <row r="19" spans="1:25" s="300" customFormat="1" ht="18">
      <c r="A19" s="92" t="s">
        <v>1</v>
      </c>
      <c r="B19" s="301">
        <f>'Расчет ЗП'!E18</f>
        <v>22</v>
      </c>
      <c r="C19" s="248">
        <f>'Расчет ЗП'!I18</f>
        <v>955.8</v>
      </c>
      <c r="D19" s="248">
        <f>'Расчет ЗП'!M18</f>
        <v>12077.488799999999</v>
      </c>
      <c r="E19" s="248">
        <f>'Расчет ЗП'!Q18</f>
        <v>12826.2931056</v>
      </c>
      <c r="F19" s="248">
        <f>'Расчет ЗП'!U18</f>
        <v>13685.654743675197</v>
      </c>
      <c r="G19" s="248">
        <f>'Расчет ЗП'!Y18</f>
        <v>14602.593611501436</v>
      </c>
      <c r="H19" s="248">
        <f>'Расчет ЗП'!AC18</f>
        <v>15580.967383472032</v>
      </c>
      <c r="I19" s="248">
        <f>'Расчет ЗП'!AG18</f>
        <v>16624.89219816466</v>
      </c>
      <c r="J19" s="248">
        <f>'Расчет ЗП'!AK18</f>
        <v>17738.759975441691</v>
      </c>
      <c r="K19" s="248">
        <f>'Расчет ЗП'!AO18</f>
        <v>18927.256893796282</v>
      </c>
    </row>
    <row r="20" spans="1:25" s="12" customFormat="1" ht="18">
      <c r="A20" s="93" t="s">
        <v>154</v>
      </c>
      <c r="B20" s="93">
        <f t="shared" ref="B20" si="3">B17+B19</f>
        <v>26</v>
      </c>
      <c r="C20" s="249">
        <f>C17+C19</f>
        <v>3517.9907999999996</v>
      </c>
      <c r="D20" s="249">
        <f>D17+D19</f>
        <v>15588.602312399998</v>
      </c>
      <c r="E20" s="249">
        <f>E17+E19</f>
        <v>16555.0956557688</v>
      </c>
      <c r="F20" s="249">
        <f>F17+F19</f>
        <v>17664.287064705306</v>
      </c>
      <c r="G20" s="249">
        <f>G17+G19</f>
        <v>18847.794298040564</v>
      </c>
      <c r="H20" s="249">
        <f t="shared" ref="H20:K20" si="4">H17+H19</f>
        <v>20110.596516009282</v>
      </c>
      <c r="I20" s="249">
        <f t="shared" si="4"/>
        <v>21458.006482581903</v>
      </c>
      <c r="J20" s="249">
        <f t="shared" si="4"/>
        <v>22895.69291691489</v>
      </c>
      <c r="K20" s="249">
        <f t="shared" si="4"/>
        <v>24429.704342348185</v>
      </c>
    </row>
    <row r="21" spans="1:25" s="24" customFormat="1" ht="18">
      <c r="A21" s="55"/>
      <c r="B21" s="55"/>
      <c r="C21" s="56"/>
      <c r="D21" s="191"/>
      <c r="E21" s="56"/>
      <c r="F21" s="56"/>
      <c r="V21" s="12"/>
      <c r="W21" s="12"/>
      <c r="X21" s="12"/>
    </row>
    <row r="22" spans="1:25" s="11" customFormat="1" ht="18">
      <c r="A22" s="55"/>
      <c r="B22" s="55"/>
      <c r="C22" s="55"/>
      <c r="D22" s="55"/>
      <c r="E22" s="55"/>
      <c r="F22" s="55"/>
      <c r="G22" s="24"/>
      <c r="H22" s="24"/>
      <c r="V22" s="12"/>
      <c r="W22" s="12"/>
      <c r="X22" s="12"/>
    </row>
    <row r="23" spans="1:25" s="11" customFormat="1" ht="19" thickBot="1">
      <c r="A23" s="133" t="s">
        <v>226</v>
      </c>
      <c r="B23" s="24"/>
      <c r="C23" s="59"/>
      <c r="D23" s="59"/>
      <c r="E23" s="59"/>
      <c r="F23" s="59"/>
      <c r="G23" s="24"/>
      <c r="H23" s="24"/>
      <c r="L23" s="11" t="s">
        <v>222</v>
      </c>
      <c r="N23" s="348">
        <v>1.1000000000000001</v>
      </c>
      <c r="V23" s="12"/>
      <c r="W23" s="12"/>
      <c r="X23" s="12"/>
    </row>
    <row r="24" spans="1:25" s="24" customFormat="1" ht="20" thickBot="1">
      <c r="A24" s="134" t="s">
        <v>124</v>
      </c>
      <c r="B24" s="135" t="s">
        <v>66</v>
      </c>
      <c r="C24" s="135" t="s">
        <v>67</v>
      </c>
      <c r="D24" s="135" t="s">
        <v>68</v>
      </c>
      <c r="E24" s="135" t="s">
        <v>173</v>
      </c>
      <c r="F24" s="135" t="s">
        <v>174</v>
      </c>
      <c r="G24" s="135" t="s">
        <v>175</v>
      </c>
      <c r="H24" s="135" t="s">
        <v>176</v>
      </c>
      <c r="I24" s="135" t="s">
        <v>177</v>
      </c>
      <c r="J24" s="135" t="s">
        <v>178</v>
      </c>
      <c r="K24" s="269"/>
      <c r="L24" s="24">
        <v>1</v>
      </c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264"/>
      <c r="X24" s="264"/>
      <c r="Y24" s="11"/>
    </row>
    <row r="25" spans="1:25" s="24" customFormat="1" ht="18">
      <c r="A25" s="355" t="s">
        <v>250</v>
      </c>
      <c r="B25" s="333">
        <f>L25*$L$24</f>
        <v>0</v>
      </c>
      <c r="C25" s="333">
        <f>M25*$L$24</f>
        <v>440.00000000000006</v>
      </c>
      <c r="D25" s="333">
        <f t="shared" ref="C25:J30" si="5">N25*$L$24</f>
        <v>297</v>
      </c>
      <c r="E25" s="333">
        <f t="shared" si="5"/>
        <v>330</v>
      </c>
      <c r="F25" s="333">
        <f t="shared" si="5"/>
        <v>330</v>
      </c>
      <c r="G25" s="333">
        <f t="shared" si="5"/>
        <v>330</v>
      </c>
      <c r="H25" s="333">
        <f t="shared" si="5"/>
        <v>330</v>
      </c>
      <c r="I25" s="333">
        <f t="shared" si="5"/>
        <v>330</v>
      </c>
      <c r="J25" s="333">
        <f t="shared" si="5"/>
        <v>330</v>
      </c>
      <c r="K25" s="311"/>
      <c r="L25" s="333">
        <v>0</v>
      </c>
      <c r="M25" s="333">
        <v>440.00000000000006</v>
      </c>
      <c r="N25" s="333">
        <v>297</v>
      </c>
      <c r="O25" s="333">
        <v>330</v>
      </c>
      <c r="P25" s="333">
        <v>330</v>
      </c>
      <c r="Q25" s="333">
        <v>330</v>
      </c>
      <c r="R25" s="333">
        <v>330</v>
      </c>
      <c r="S25" s="333">
        <v>330</v>
      </c>
      <c r="T25" s="333">
        <v>330</v>
      </c>
      <c r="U25" s="309"/>
      <c r="V25" s="309"/>
      <c r="W25" s="265"/>
      <c r="X25" s="265"/>
      <c r="Y25" s="11"/>
    </row>
    <row r="26" spans="1:25" s="24" customFormat="1" ht="18">
      <c r="A26" s="356" t="s">
        <v>251</v>
      </c>
      <c r="B26" s="333">
        <f t="shared" ref="B26:B29" si="6">L26*$L$24</f>
        <v>0</v>
      </c>
      <c r="C26" s="333">
        <f t="shared" si="5"/>
        <v>220.00000000000003</v>
      </c>
      <c r="D26" s="333">
        <f t="shared" si="5"/>
        <v>275</v>
      </c>
      <c r="E26" s="333">
        <f t="shared" si="5"/>
        <v>330</v>
      </c>
      <c r="F26" s="333">
        <f t="shared" si="5"/>
        <v>330</v>
      </c>
      <c r="G26" s="333">
        <f t="shared" si="5"/>
        <v>330</v>
      </c>
      <c r="H26" s="333">
        <f t="shared" si="5"/>
        <v>330</v>
      </c>
      <c r="I26" s="333">
        <f t="shared" si="5"/>
        <v>330</v>
      </c>
      <c r="J26" s="333">
        <f t="shared" si="5"/>
        <v>330</v>
      </c>
      <c r="K26" s="311"/>
      <c r="L26" s="333">
        <v>0</v>
      </c>
      <c r="M26" s="333">
        <v>220.00000000000003</v>
      </c>
      <c r="N26" s="333">
        <v>275</v>
      </c>
      <c r="O26" s="333">
        <v>330</v>
      </c>
      <c r="P26" s="333">
        <v>330</v>
      </c>
      <c r="Q26" s="333">
        <v>330</v>
      </c>
      <c r="R26" s="333">
        <v>330</v>
      </c>
      <c r="S26" s="333">
        <v>330</v>
      </c>
      <c r="T26" s="333">
        <v>330</v>
      </c>
      <c r="U26" s="309"/>
      <c r="V26" s="309"/>
      <c r="W26" s="265"/>
      <c r="X26" s="265"/>
      <c r="Y26" s="11"/>
    </row>
    <row r="27" spans="1:25" s="24" customFormat="1" ht="18">
      <c r="A27" s="356" t="s">
        <v>252</v>
      </c>
      <c r="B27" s="333">
        <f t="shared" si="6"/>
        <v>0</v>
      </c>
      <c r="C27" s="333">
        <f t="shared" si="5"/>
        <v>0</v>
      </c>
      <c r="D27" s="333">
        <f t="shared" si="5"/>
        <v>55.000000000000007</v>
      </c>
      <c r="E27" s="333">
        <f t="shared" si="5"/>
        <v>55.000000000000007</v>
      </c>
      <c r="F27" s="333">
        <f t="shared" si="5"/>
        <v>110.00000000000001</v>
      </c>
      <c r="G27" s="333">
        <f t="shared" si="5"/>
        <v>110.00000000000001</v>
      </c>
      <c r="H27" s="333">
        <f t="shared" si="5"/>
        <v>110.00000000000001</v>
      </c>
      <c r="I27" s="333">
        <f t="shared" si="5"/>
        <v>220.00000000000003</v>
      </c>
      <c r="J27" s="333">
        <f t="shared" si="5"/>
        <v>220.00000000000003</v>
      </c>
      <c r="K27" s="311"/>
      <c r="L27" s="333">
        <v>0</v>
      </c>
      <c r="M27" s="333">
        <v>0</v>
      </c>
      <c r="N27" s="333">
        <v>55.000000000000007</v>
      </c>
      <c r="O27" s="333">
        <v>55.000000000000007</v>
      </c>
      <c r="P27" s="333">
        <v>110.00000000000001</v>
      </c>
      <c r="Q27" s="333">
        <v>110.00000000000001</v>
      </c>
      <c r="R27" s="333">
        <v>110.00000000000001</v>
      </c>
      <c r="S27" s="333">
        <v>220.00000000000003</v>
      </c>
      <c r="T27" s="333">
        <v>220.00000000000003</v>
      </c>
      <c r="U27" s="309"/>
      <c r="V27" s="309"/>
      <c r="W27" s="265"/>
      <c r="X27" s="265"/>
      <c r="Y27" s="11"/>
    </row>
    <row r="28" spans="1:25" s="24" customFormat="1" ht="18">
      <c r="A28" s="356" t="s">
        <v>253</v>
      </c>
      <c r="B28" s="333">
        <f>L28*$L$24</f>
        <v>30000</v>
      </c>
      <c r="C28" s="333">
        <f t="shared" si="5"/>
        <v>66000</v>
      </c>
      <c r="D28" s="333">
        <f t="shared" si="5"/>
        <v>88000</v>
      </c>
      <c r="E28" s="333">
        <f t="shared" si="5"/>
        <v>110000.00000000001</v>
      </c>
      <c r="F28" s="333">
        <f t="shared" si="5"/>
        <v>132000</v>
      </c>
      <c r="G28" s="333">
        <f t="shared" si="5"/>
        <v>132000</v>
      </c>
      <c r="H28" s="333">
        <f t="shared" si="5"/>
        <v>132000</v>
      </c>
      <c r="I28" s="333">
        <f t="shared" si="5"/>
        <v>132000</v>
      </c>
      <c r="J28" s="333">
        <f t="shared" si="5"/>
        <v>132000</v>
      </c>
      <c r="K28" s="311"/>
      <c r="L28" s="333">
        <v>30000</v>
      </c>
      <c r="M28" s="333">
        <v>66000</v>
      </c>
      <c r="N28" s="333">
        <v>88000</v>
      </c>
      <c r="O28" s="333">
        <v>110000.00000000001</v>
      </c>
      <c r="P28" s="333">
        <v>132000</v>
      </c>
      <c r="Q28" s="333">
        <v>132000</v>
      </c>
      <c r="R28" s="333">
        <v>132000</v>
      </c>
      <c r="S28" s="333">
        <v>132000</v>
      </c>
      <c r="T28" s="333">
        <v>132000</v>
      </c>
      <c r="U28" s="309"/>
      <c r="V28" s="309"/>
      <c r="W28" s="265"/>
      <c r="X28" s="265"/>
      <c r="Y28" s="11"/>
    </row>
    <row r="29" spans="1:25" s="24" customFormat="1" ht="18">
      <c r="A29" s="356" t="s">
        <v>254</v>
      </c>
      <c r="B29" s="333">
        <f t="shared" si="6"/>
        <v>22000</v>
      </c>
      <c r="C29" s="333">
        <f t="shared" si="5"/>
        <v>33000</v>
      </c>
      <c r="D29" s="333">
        <f t="shared" si="5"/>
        <v>44000</v>
      </c>
      <c r="E29" s="333">
        <f t="shared" si="5"/>
        <v>55000.000000000007</v>
      </c>
      <c r="F29" s="333">
        <f t="shared" si="5"/>
        <v>66000</v>
      </c>
      <c r="G29" s="333">
        <f t="shared" si="5"/>
        <v>66000</v>
      </c>
      <c r="H29" s="333">
        <f t="shared" si="5"/>
        <v>66000</v>
      </c>
      <c r="I29" s="333">
        <f t="shared" si="5"/>
        <v>66000</v>
      </c>
      <c r="J29" s="333">
        <f t="shared" si="5"/>
        <v>66000</v>
      </c>
      <c r="K29" s="311"/>
      <c r="L29" s="333">
        <v>22000</v>
      </c>
      <c r="M29" s="333">
        <v>33000</v>
      </c>
      <c r="N29" s="333">
        <v>44000</v>
      </c>
      <c r="O29" s="333">
        <v>55000.000000000007</v>
      </c>
      <c r="P29" s="333">
        <v>66000</v>
      </c>
      <c r="Q29" s="333">
        <v>66000</v>
      </c>
      <c r="R29" s="333">
        <v>66000</v>
      </c>
      <c r="S29" s="333">
        <v>66000</v>
      </c>
      <c r="T29" s="333">
        <v>66000</v>
      </c>
      <c r="U29" s="309"/>
      <c r="V29" s="309"/>
      <c r="W29" s="265"/>
      <c r="X29" s="265"/>
      <c r="Y29" s="11"/>
    </row>
    <row r="30" spans="1:25" s="24" customFormat="1" ht="18">
      <c r="A30" s="356" t="s">
        <v>255</v>
      </c>
      <c r="B30" s="333">
        <v>22000</v>
      </c>
      <c r="C30" s="333">
        <f t="shared" si="5"/>
        <v>33000</v>
      </c>
      <c r="D30" s="333">
        <f t="shared" si="5"/>
        <v>44000</v>
      </c>
      <c r="E30" s="333">
        <f t="shared" si="5"/>
        <v>55000.000000000007</v>
      </c>
      <c r="F30" s="333">
        <f t="shared" si="5"/>
        <v>66000</v>
      </c>
      <c r="G30" s="333">
        <f t="shared" si="5"/>
        <v>66000</v>
      </c>
      <c r="H30" s="333">
        <f t="shared" si="5"/>
        <v>66000</v>
      </c>
      <c r="I30" s="333">
        <f t="shared" si="5"/>
        <v>66000</v>
      </c>
      <c r="J30" s="333">
        <f t="shared" si="5"/>
        <v>66000</v>
      </c>
      <c r="K30" s="311"/>
      <c r="L30" s="333">
        <v>0</v>
      </c>
      <c r="M30" s="333">
        <v>33000</v>
      </c>
      <c r="N30" s="333">
        <v>44000</v>
      </c>
      <c r="O30" s="333">
        <v>55000.000000000007</v>
      </c>
      <c r="P30" s="333">
        <v>66000</v>
      </c>
      <c r="Q30" s="333">
        <v>66000</v>
      </c>
      <c r="R30" s="333">
        <v>66000</v>
      </c>
      <c r="S30" s="333">
        <v>66000</v>
      </c>
      <c r="T30" s="333">
        <v>66000</v>
      </c>
      <c r="U30" s="309"/>
      <c r="V30" s="309"/>
      <c r="W30" s="265"/>
      <c r="X30" s="265"/>
      <c r="Y30" s="11"/>
    </row>
    <row r="31" spans="1:25" s="24" customFormat="1" ht="19" thickBot="1">
      <c r="A31" s="51" t="s">
        <v>44</v>
      </c>
      <c r="B31" s="58">
        <f t="shared" ref="B31:J31" si="7">SUM(B25:B30)</f>
        <v>74000</v>
      </c>
      <c r="C31" s="58">
        <f t="shared" si="7"/>
        <v>132660</v>
      </c>
      <c r="D31" s="58">
        <f t="shared" si="7"/>
        <v>176627</v>
      </c>
      <c r="E31" s="58">
        <f t="shared" si="7"/>
        <v>220715.00000000003</v>
      </c>
      <c r="F31" s="58">
        <f t="shared" si="7"/>
        <v>264770</v>
      </c>
      <c r="G31" s="58">
        <f t="shared" si="7"/>
        <v>264770</v>
      </c>
      <c r="H31" s="58">
        <f t="shared" si="7"/>
        <v>264770</v>
      </c>
      <c r="I31" s="58">
        <f t="shared" si="7"/>
        <v>264880</v>
      </c>
      <c r="J31" s="58">
        <f t="shared" si="7"/>
        <v>264880</v>
      </c>
      <c r="K31" s="311"/>
      <c r="O31" s="11"/>
      <c r="P31" s="95"/>
      <c r="Q31" s="95"/>
      <c r="R31" s="95"/>
      <c r="S31" s="95"/>
      <c r="T31" s="95"/>
      <c r="U31" s="95"/>
      <c r="V31" s="95"/>
      <c r="W31" s="95"/>
      <c r="X31" s="95"/>
      <c r="Y31" s="11"/>
    </row>
    <row r="32" spans="1:25" s="24" customFormat="1" ht="18">
      <c r="A32" s="55"/>
      <c r="B32" s="55"/>
      <c r="C32" s="55"/>
      <c r="D32" s="55"/>
      <c r="E32" s="55"/>
      <c r="F32" s="55"/>
      <c r="G32" s="89"/>
      <c r="H32" s="89"/>
    </row>
    <row r="33" spans="1:25" ht="18">
      <c r="A33" s="57" t="s">
        <v>227</v>
      </c>
      <c r="C33" s="316"/>
      <c r="G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1:25" s="24" customFormat="1" ht="19">
      <c r="A34" s="350" t="s">
        <v>124</v>
      </c>
      <c r="B34" s="351" t="s">
        <v>66</v>
      </c>
      <c r="C34" s="158" t="s">
        <v>67</v>
      </c>
      <c r="D34" s="158" t="s">
        <v>68</v>
      </c>
      <c r="E34" s="158" t="s">
        <v>173</v>
      </c>
      <c r="F34" s="158" t="s">
        <v>174</v>
      </c>
      <c r="G34" s="158" t="s">
        <v>175</v>
      </c>
      <c r="H34" s="158" t="s">
        <v>176</v>
      </c>
      <c r="I34" s="158" t="s">
        <v>177</v>
      </c>
      <c r="J34" s="158" t="s">
        <v>178</v>
      </c>
      <c r="U34" s="11"/>
      <c r="V34" s="11"/>
    </row>
    <row r="35" spans="1:25" s="24" customFormat="1" ht="19">
      <c r="A35" s="352" t="s">
        <v>250</v>
      </c>
      <c r="B35" s="353">
        <v>0</v>
      </c>
      <c r="C35" s="335">
        <v>2.29</v>
      </c>
      <c r="D35" s="349">
        <f>C35*$C$1</f>
        <v>2.3816000000000002</v>
      </c>
      <c r="E35" s="349">
        <f>D35*$C$1</f>
        <v>2.4768640000000004</v>
      </c>
      <c r="F35" s="349">
        <f t="shared" ref="F35:J35" si="8">E35*$C$1</f>
        <v>2.5759385600000004</v>
      </c>
      <c r="G35" s="349">
        <f t="shared" si="8"/>
        <v>2.6789761024000005</v>
      </c>
      <c r="H35" s="349">
        <f t="shared" si="8"/>
        <v>2.7861351464960005</v>
      </c>
      <c r="I35" s="349">
        <f t="shared" si="8"/>
        <v>2.8975805523558407</v>
      </c>
      <c r="J35" s="349">
        <f t="shared" si="8"/>
        <v>3.0134837744500742</v>
      </c>
      <c r="U35" s="11"/>
      <c r="V35" s="11"/>
    </row>
    <row r="36" spans="1:25" s="24" customFormat="1" ht="19">
      <c r="A36" s="354" t="s">
        <v>251</v>
      </c>
      <c r="B36" s="353">
        <v>0</v>
      </c>
      <c r="C36" s="335">
        <v>2.29</v>
      </c>
      <c r="D36" s="349">
        <f>C36*$C$1</f>
        <v>2.3816000000000002</v>
      </c>
      <c r="E36" s="349">
        <f t="shared" ref="E36:J40" si="9">D36*$C$1</f>
        <v>2.4768640000000004</v>
      </c>
      <c r="F36" s="349">
        <f t="shared" si="9"/>
        <v>2.5759385600000004</v>
      </c>
      <c r="G36" s="349">
        <f t="shared" si="9"/>
        <v>2.6789761024000005</v>
      </c>
      <c r="H36" s="349">
        <f t="shared" si="9"/>
        <v>2.7861351464960005</v>
      </c>
      <c r="I36" s="349">
        <f t="shared" si="9"/>
        <v>2.8975805523558407</v>
      </c>
      <c r="J36" s="349">
        <f t="shared" si="9"/>
        <v>3.0134837744500742</v>
      </c>
      <c r="U36" s="11"/>
      <c r="V36" s="11"/>
    </row>
    <row r="37" spans="1:25" s="24" customFormat="1" ht="19">
      <c r="A37" s="354" t="s">
        <v>252</v>
      </c>
      <c r="B37" s="353">
        <v>0</v>
      </c>
      <c r="C37" s="335">
        <v>0</v>
      </c>
      <c r="D37" s="335">
        <v>4.5999999999999996</v>
      </c>
      <c r="E37" s="349">
        <f t="shared" si="9"/>
        <v>4.7839999999999998</v>
      </c>
      <c r="F37" s="349">
        <f t="shared" si="9"/>
        <v>4.9753600000000002</v>
      </c>
      <c r="G37" s="349">
        <f t="shared" si="9"/>
        <v>5.1743744000000005</v>
      </c>
      <c r="H37" s="349">
        <f t="shared" si="9"/>
        <v>5.3813493760000011</v>
      </c>
      <c r="I37" s="349">
        <f t="shared" si="9"/>
        <v>5.5966033510400015</v>
      </c>
      <c r="J37" s="349">
        <f t="shared" si="9"/>
        <v>5.8204674850816014</v>
      </c>
      <c r="U37" s="11"/>
      <c r="V37" s="11"/>
    </row>
    <row r="38" spans="1:25" s="24" customFormat="1" ht="19">
      <c r="A38" s="354" t="s">
        <v>253</v>
      </c>
      <c r="B38" s="353">
        <v>0.12</v>
      </c>
      <c r="C38" s="349">
        <f>B38*$C$1</f>
        <v>0.12479999999999999</v>
      </c>
      <c r="D38" s="349">
        <f>C38*$C$1</f>
        <v>0.12979199999999999</v>
      </c>
      <c r="E38" s="349">
        <f t="shared" si="9"/>
        <v>0.13498367999999999</v>
      </c>
      <c r="F38" s="349">
        <f t="shared" si="9"/>
        <v>0.14038302720000001</v>
      </c>
      <c r="G38" s="349">
        <f t="shared" si="9"/>
        <v>0.14599834828800001</v>
      </c>
      <c r="H38" s="349">
        <f t="shared" si="9"/>
        <v>0.15183828221952003</v>
      </c>
      <c r="I38" s="349">
        <f t="shared" si="9"/>
        <v>0.15791181350830083</v>
      </c>
      <c r="J38" s="349">
        <f t="shared" si="9"/>
        <v>0.16422828604863288</v>
      </c>
      <c r="L38" s="266"/>
      <c r="M38" s="267"/>
      <c r="N38" s="267"/>
      <c r="O38" s="267"/>
      <c r="P38" s="267"/>
      <c r="Q38" s="267"/>
      <c r="R38" s="267"/>
      <c r="S38" s="267"/>
      <c r="T38" s="267"/>
      <c r="U38" s="11"/>
      <c r="V38" s="11"/>
    </row>
    <row r="39" spans="1:25" s="24" customFormat="1" ht="19">
      <c r="A39" s="354" t="s">
        <v>254</v>
      </c>
      <c r="B39" s="353">
        <v>0.12</v>
      </c>
      <c r="C39" s="349">
        <f t="shared" ref="C39:C40" si="10">B39*$C$1</f>
        <v>0.12479999999999999</v>
      </c>
      <c r="D39" s="349">
        <f>C39*$C$1</f>
        <v>0.12979199999999999</v>
      </c>
      <c r="E39" s="349">
        <f t="shared" si="9"/>
        <v>0.13498367999999999</v>
      </c>
      <c r="F39" s="349">
        <f t="shared" si="9"/>
        <v>0.14038302720000001</v>
      </c>
      <c r="G39" s="349">
        <f t="shared" si="9"/>
        <v>0.14599834828800001</v>
      </c>
      <c r="H39" s="349">
        <f t="shared" si="9"/>
        <v>0.15183828221952003</v>
      </c>
      <c r="I39" s="349">
        <f t="shared" si="9"/>
        <v>0.15791181350830083</v>
      </c>
      <c r="J39" s="349">
        <f t="shared" si="9"/>
        <v>0.16422828604863288</v>
      </c>
      <c r="L39" s="266"/>
      <c r="M39" s="267"/>
      <c r="N39" s="267"/>
      <c r="O39" s="267"/>
      <c r="P39" s="267"/>
      <c r="Q39" s="267"/>
      <c r="R39" s="267"/>
      <c r="S39" s="267"/>
      <c r="T39" s="267"/>
      <c r="U39" s="11"/>
      <c r="V39" s="11"/>
    </row>
    <row r="40" spans="1:25" s="24" customFormat="1" ht="19">
      <c r="A40" s="354" t="s">
        <v>255</v>
      </c>
      <c r="B40" s="353">
        <v>0.75</v>
      </c>
      <c r="C40" s="349">
        <f t="shared" si="10"/>
        <v>0.78</v>
      </c>
      <c r="D40" s="349">
        <f>C40*$C$1</f>
        <v>0.81120000000000003</v>
      </c>
      <c r="E40" s="349">
        <f t="shared" si="9"/>
        <v>0.84364800000000006</v>
      </c>
      <c r="F40" s="349">
        <f t="shared" si="9"/>
        <v>0.87739392000000005</v>
      </c>
      <c r="G40" s="349">
        <f t="shared" si="9"/>
        <v>0.91248967680000004</v>
      </c>
      <c r="H40" s="349">
        <f t="shared" si="9"/>
        <v>0.94898926387200011</v>
      </c>
      <c r="I40" s="349">
        <f t="shared" si="9"/>
        <v>0.98694883442688019</v>
      </c>
      <c r="J40" s="349">
        <f t="shared" si="9"/>
        <v>1.0264267878039555</v>
      </c>
      <c r="L40" s="266"/>
      <c r="M40" s="267"/>
      <c r="N40" s="267"/>
      <c r="O40" s="267"/>
      <c r="P40" s="267"/>
      <c r="Q40" s="267"/>
      <c r="R40" s="267"/>
      <c r="S40" s="267"/>
      <c r="T40" s="267"/>
      <c r="U40" s="11"/>
      <c r="V40" s="11"/>
    </row>
    <row r="41" spans="1:25" s="24" customFormat="1" ht="18">
      <c r="A41" s="334" t="s">
        <v>44</v>
      </c>
      <c r="B41" s="248">
        <f>SUM(B35:B40)</f>
        <v>0.99</v>
      </c>
      <c r="C41" s="248">
        <f t="shared" ref="C41:J41" si="11">SUM(C35:C40)</f>
        <v>5.6095999999999995</v>
      </c>
      <c r="D41" s="248">
        <f t="shared" si="11"/>
        <v>10.433983999999999</v>
      </c>
      <c r="E41" s="248">
        <f t="shared" si="11"/>
        <v>10.85134336</v>
      </c>
      <c r="F41" s="248">
        <f t="shared" si="11"/>
        <v>11.2853970944</v>
      </c>
      <c r="G41" s="248">
        <f t="shared" si="11"/>
        <v>11.736812978176001</v>
      </c>
      <c r="H41" s="248">
        <f t="shared" si="11"/>
        <v>12.206285497303043</v>
      </c>
      <c r="I41" s="248">
        <f t="shared" si="11"/>
        <v>12.694536917195165</v>
      </c>
      <c r="J41" s="248">
        <f t="shared" si="11"/>
        <v>13.202318393882972</v>
      </c>
      <c r="L41" s="56"/>
      <c r="M41" s="95"/>
      <c r="N41" s="95"/>
      <c r="O41" s="95"/>
      <c r="P41" s="95"/>
      <c r="Q41" s="95"/>
      <c r="R41" s="95"/>
      <c r="S41" s="95"/>
      <c r="T41" s="95"/>
      <c r="U41" s="11"/>
      <c r="V41" s="11"/>
    </row>
    <row r="42" spans="1:25" s="24" customFormat="1" ht="19" thickBot="1">
      <c r="A42" s="57" t="s">
        <v>199</v>
      </c>
      <c r="B42" s="55"/>
      <c r="C42" s="55"/>
      <c r="D42" s="55"/>
      <c r="E42" s="55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5" s="24" customFormat="1" ht="20" thickBot="1">
      <c r="A43" s="161" t="s">
        <v>124</v>
      </c>
      <c r="B43" s="135" t="s">
        <v>66</v>
      </c>
      <c r="C43" s="135" t="s">
        <v>67</v>
      </c>
      <c r="D43" s="135" t="s">
        <v>68</v>
      </c>
      <c r="E43" s="135" t="s">
        <v>173</v>
      </c>
      <c r="F43" s="135" t="s">
        <v>174</v>
      </c>
      <c r="G43" s="135" t="s">
        <v>175</v>
      </c>
      <c r="H43" s="135" t="s">
        <v>176</v>
      </c>
      <c r="I43" s="135" t="s">
        <v>177</v>
      </c>
      <c r="J43" s="135" t="s">
        <v>178</v>
      </c>
    </row>
    <row r="44" spans="1:25" s="24" customFormat="1" ht="19" thickBot="1">
      <c r="A44" s="355" t="s">
        <v>250</v>
      </c>
      <c r="B44" s="217">
        <f>B35*B25</f>
        <v>0</v>
      </c>
      <c r="C44" s="217">
        <f t="shared" ref="C44:J44" si="12">C35*C25</f>
        <v>1007.6000000000001</v>
      </c>
      <c r="D44" s="217">
        <f t="shared" si="12"/>
        <v>707.3352000000001</v>
      </c>
      <c r="E44" s="217">
        <f t="shared" si="12"/>
        <v>817.36512000000016</v>
      </c>
      <c r="F44" s="217">
        <f t="shared" si="12"/>
        <v>850.05972480000014</v>
      </c>
      <c r="G44" s="217">
        <f t="shared" si="12"/>
        <v>884.06211379200022</v>
      </c>
      <c r="H44" s="217">
        <f t="shared" si="12"/>
        <v>919.42459834368015</v>
      </c>
      <c r="I44" s="217">
        <f t="shared" si="12"/>
        <v>956.20158227742741</v>
      </c>
      <c r="J44" s="217">
        <f t="shared" si="12"/>
        <v>994.44964556852449</v>
      </c>
      <c r="Q44" s="282"/>
      <c r="R44" s="282"/>
      <c r="S44" s="282"/>
      <c r="T44" s="282"/>
      <c r="U44" s="282"/>
      <c r="V44" s="282"/>
      <c r="W44" s="282"/>
      <c r="X44" s="282"/>
      <c r="Y44" s="282"/>
    </row>
    <row r="45" spans="1:25" s="24" customFormat="1" ht="19" thickBot="1">
      <c r="A45" s="356" t="s">
        <v>251</v>
      </c>
      <c r="B45" s="217">
        <f t="shared" ref="B45:J49" si="13">B36*B26</f>
        <v>0</v>
      </c>
      <c r="C45" s="217">
        <f t="shared" si="13"/>
        <v>503.80000000000007</v>
      </c>
      <c r="D45" s="217">
        <f t="shared" si="13"/>
        <v>654.94000000000005</v>
      </c>
      <c r="E45" s="217">
        <f t="shared" si="13"/>
        <v>817.36512000000016</v>
      </c>
      <c r="F45" s="217">
        <f t="shared" si="13"/>
        <v>850.05972480000014</v>
      </c>
      <c r="G45" s="217">
        <f t="shared" si="13"/>
        <v>884.06211379200022</v>
      </c>
      <c r="H45" s="217">
        <f t="shared" si="13"/>
        <v>919.42459834368015</v>
      </c>
      <c r="I45" s="217">
        <f t="shared" si="13"/>
        <v>956.20158227742741</v>
      </c>
      <c r="J45" s="217">
        <f t="shared" si="13"/>
        <v>994.44964556852449</v>
      </c>
      <c r="Q45" s="282"/>
      <c r="R45" s="282"/>
      <c r="S45" s="282"/>
      <c r="T45" s="282"/>
      <c r="U45" s="282"/>
      <c r="V45" s="282"/>
      <c r="W45" s="282"/>
      <c r="X45" s="282"/>
      <c r="Y45" s="282"/>
    </row>
    <row r="46" spans="1:25" s="24" customFormat="1" ht="19" thickBot="1">
      <c r="A46" s="356" t="s">
        <v>252</v>
      </c>
      <c r="B46" s="217">
        <f t="shared" si="13"/>
        <v>0</v>
      </c>
      <c r="C46" s="217">
        <f t="shared" si="13"/>
        <v>0</v>
      </c>
      <c r="D46" s="217">
        <f t="shared" si="13"/>
        <v>253</v>
      </c>
      <c r="E46" s="217">
        <f t="shared" si="13"/>
        <v>263.12</v>
      </c>
      <c r="F46" s="217">
        <f t="shared" si="13"/>
        <v>547.28960000000006</v>
      </c>
      <c r="G46" s="217">
        <f t="shared" si="13"/>
        <v>569.18118400000014</v>
      </c>
      <c r="H46" s="217">
        <f t="shared" si="13"/>
        <v>591.9484313600002</v>
      </c>
      <c r="I46" s="217">
        <f t="shared" si="13"/>
        <v>1231.2527372288005</v>
      </c>
      <c r="J46" s="217">
        <f t="shared" si="13"/>
        <v>1280.5028467179525</v>
      </c>
      <c r="Q46" s="282"/>
      <c r="R46" s="282"/>
      <c r="S46" s="282"/>
      <c r="T46" s="282"/>
      <c r="U46" s="282"/>
      <c r="V46" s="282"/>
      <c r="W46" s="282"/>
      <c r="X46" s="282"/>
      <c r="Y46" s="282"/>
    </row>
    <row r="47" spans="1:25" s="24" customFormat="1" ht="19" thickBot="1">
      <c r="A47" s="356" t="s">
        <v>253</v>
      </c>
      <c r="B47" s="217">
        <f>B38*B28</f>
        <v>3600</v>
      </c>
      <c r="C47" s="217">
        <f t="shared" si="13"/>
        <v>8236.7999999999993</v>
      </c>
      <c r="D47" s="217">
        <f t="shared" si="13"/>
        <v>11421.696</v>
      </c>
      <c r="E47" s="217">
        <f t="shared" si="13"/>
        <v>14848.204800000001</v>
      </c>
      <c r="F47" s="217">
        <f t="shared" si="13"/>
        <v>18530.5595904</v>
      </c>
      <c r="G47" s="217">
        <f t="shared" si="13"/>
        <v>19271.781974016001</v>
      </c>
      <c r="H47" s="217">
        <f t="shared" si="13"/>
        <v>20042.653252976645</v>
      </c>
      <c r="I47" s="217">
        <f t="shared" si="13"/>
        <v>20844.359383095711</v>
      </c>
      <c r="J47" s="217">
        <f t="shared" si="13"/>
        <v>21678.133758419539</v>
      </c>
      <c r="Q47" s="282"/>
      <c r="R47" s="282"/>
      <c r="S47" s="282"/>
      <c r="T47" s="282"/>
      <c r="U47" s="282"/>
      <c r="V47" s="282"/>
      <c r="W47" s="282"/>
      <c r="X47" s="282"/>
      <c r="Y47" s="282"/>
    </row>
    <row r="48" spans="1:25" s="24" customFormat="1" ht="19" thickBot="1">
      <c r="A48" s="356" t="s">
        <v>254</v>
      </c>
      <c r="B48" s="217">
        <f t="shared" si="13"/>
        <v>2640</v>
      </c>
      <c r="C48" s="217">
        <f t="shared" si="13"/>
        <v>4118.3999999999996</v>
      </c>
      <c r="D48" s="217">
        <f t="shared" si="13"/>
        <v>5710.848</v>
      </c>
      <c r="E48" s="217">
        <f t="shared" si="13"/>
        <v>7424.1024000000007</v>
      </c>
      <c r="F48" s="217">
        <f t="shared" si="13"/>
        <v>9265.2797952000001</v>
      </c>
      <c r="G48" s="217">
        <f t="shared" si="13"/>
        <v>9635.8909870080006</v>
      </c>
      <c r="H48" s="217">
        <f t="shared" si="13"/>
        <v>10021.326626488322</v>
      </c>
      <c r="I48" s="217">
        <f t="shared" si="13"/>
        <v>10422.179691547855</v>
      </c>
      <c r="J48" s="217">
        <f t="shared" si="13"/>
        <v>10839.066879209769</v>
      </c>
      <c r="Q48" s="282"/>
      <c r="R48" s="282"/>
      <c r="S48" s="282"/>
      <c r="T48" s="282"/>
      <c r="U48" s="282"/>
      <c r="V48" s="282"/>
      <c r="W48" s="282"/>
      <c r="X48" s="282"/>
      <c r="Y48" s="282"/>
    </row>
    <row r="49" spans="1:26" s="24" customFormat="1" ht="19" thickBot="1">
      <c r="A49" s="356" t="s">
        <v>255</v>
      </c>
      <c r="B49" s="217">
        <f t="shared" si="13"/>
        <v>16500</v>
      </c>
      <c r="C49" s="217">
        <f t="shared" si="13"/>
        <v>25740</v>
      </c>
      <c r="D49" s="217">
        <f t="shared" si="13"/>
        <v>35692.800000000003</v>
      </c>
      <c r="E49" s="217">
        <f t="shared" si="13"/>
        <v>46400.640000000007</v>
      </c>
      <c r="F49" s="217">
        <f t="shared" si="13"/>
        <v>57907.998720000003</v>
      </c>
      <c r="G49" s="217">
        <f t="shared" si="13"/>
        <v>60224.318668800006</v>
      </c>
      <c r="H49" s="217">
        <f t="shared" si="13"/>
        <v>62633.291415552005</v>
      </c>
      <c r="I49" s="217">
        <f t="shared" si="13"/>
        <v>65138.623072174094</v>
      </c>
      <c r="J49" s="217">
        <f>J40*J30</f>
        <v>67744.167995061056</v>
      </c>
      <c r="Q49" s="282"/>
      <c r="R49" s="282"/>
      <c r="S49" s="282"/>
      <c r="T49" s="282"/>
      <c r="U49" s="282"/>
      <c r="V49" s="282"/>
      <c r="W49" s="282"/>
      <c r="X49" s="282"/>
      <c r="Y49" s="282"/>
    </row>
    <row r="50" spans="1:26" s="24" customFormat="1" ht="19" thickBot="1">
      <c r="A50" s="51" t="s">
        <v>44</v>
      </c>
      <c r="B50" s="217">
        <f>SUM(B44:B49)</f>
        <v>22740</v>
      </c>
      <c r="C50" s="217">
        <f t="shared" ref="C50:J50" si="14">SUM(C44:C49)</f>
        <v>39606.6</v>
      </c>
      <c r="D50" s="217">
        <f t="shared" si="14"/>
        <v>54440.619200000001</v>
      </c>
      <c r="E50" s="217">
        <f>SUM(E44:E49)</f>
        <v>70570.797440000009</v>
      </c>
      <c r="F50" s="217">
        <f t="shared" si="14"/>
        <v>87951.247155200006</v>
      </c>
      <c r="G50" s="217">
        <f t="shared" si="14"/>
        <v>91469.297041408019</v>
      </c>
      <c r="H50" s="217">
        <f>SUM(H44:H49)</f>
        <v>95128.068923064333</v>
      </c>
      <c r="I50" s="217">
        <f t="shared" si="14"/>
        <v>99548.818048601315</v>
      </c>
      <c r="J50" s="217">
        <f t="shared" si="14"/>
        <v>103530.77077054536</v>
      </c>
    </row>
    <row r="51" spans="1:26" s="24" customFormat="1" ht="18">
      <c r="A51" s="212"/>
      <c r="B51" s="56"/>
      <c r="C51" s="95"/>
      <c r="D51" s="95"/>
      <c r="E51" s="95"/>
      <c r="F51" s="95"/>
      <c r="G51" s="95"/>
      <c r="H51" s="95"/>
      <c r="I51" s="95"/>
      <c r="J51" s="95"/>
    </row>
    <row r="52" spans="1:26" s="24" customFormat="1" ht="18">
      <c r="A52" s="57" t="s">
        <v>228</v>
      </c>
      <c r="C52" s="59"/>
      <c r="D52" s="59"/>
      <c r="E52" s="59"/>
      <c r="F52" s="59"/>
      <c r="G52"/>
      <c r="L52" s="12" t="s">
        <v>222</v>
      </c>
      <c r="U52" s="11"/>
      <c r="V52" s="11"/>
      <c r="W52" s="11"/>
    </row>
    <row r="53" spans="1:26" s="24" customFormat="1" ht="19" thickBot="1">
      <c r="A53" s="395" t="s">
        <v>124</v>
      </c>
      <c r="B53" s="132"/>
      <c r="C53" s="132"/>
      <c r="D53" s="132"/>
      <c r="E53" s="132"/>
      <c r="F53" s="19"/>
      <c r="L53" s="24">
        <v>1</v>
      </c>
      <c r="U53" s="11"/>
      <c r="V53" s="11"/>
      <c r="W53" s="11"/>
    </row>
    <row r="54" spans="1:26" s="24" customFormat="1" ht="19" thickBot="1">
      <c r="A54" s="396"/>
      <c r="B54" s="135" t="s">
        <v>66</v>
      </c>
      <c r="C54" s="135" t="s">
        <v>67</v>
      </c>
      <c r="D54" s="135" t="s">
        <v>68</v>
      </c>
      <c r="E54" s="135" t="s">
        <v>173</v>
      </c>
      <c r="F54" s="135" t="s">
        <v>174</v>
      </c>
      <c r="G54" s="135" t="s">
        <v>175</v>
      </c>
      <c r="H54" s="135" t="s">
        <v>176</v>
      </c>
      <c r="I54" s="135" t="s">
        <v>177</v>
      </c>
      <c r="J54" s="135" t="s">
        <v>178</v>
      </c>
      <c r="K54" s="95"/>
      <c r="L54" s="120"/>
      <c r="M54" s="242"/>
      <c r="U54" s="11"/>
      <c r="V54" s="95"/>
      <c r="W54" s="95"/>
      <c r="X54" s="95"/>
      <c r="Y54" s="95"/>
      <c r="Z54" s="95"/>
    </row>
    <row r="55" spans="1:26" s="24" customFormat="1" ht="21" customHeight="1">
      <c r="A55" s="355" t="s">
        <v>250</v>
      </c>
      <c r="B55" s="210">
        <f>L55*$L$53</f>
        <v>0</v>
      </c>
      <c r="C55" s="210">
        <f t="shared" ref="B55:J60" si="15">M55*$L$53</f>
        <v>4</v>
      </c>
      <c r="D55" s="210">
        <f t="shared" si="15"/>
        <v>4.16</v>
      </c>
      <c r="E55" s="210">
        <f t="shared" si="15"/>
        <v>4.3264000000000005</v>
      </c>
      <c r="F55" s="210">
        <f t="shared" si="15"/>
        <v>4.4994560000000003</v>
      </c>
      <c r="G55" s="210">
        <f t="shared" si="15"/>
        <v>4.6794342400000009</v>
      </c>
      <c r="H55" s="210">
        <f t="shared" si="15"/>
        <v>4.8666116096000014</v>
      </c>
      <c r="I55" s="210">
        <f t="shared" si="15"/>
        <v>5.0612760739840015</v>
      </c>
      <c r="J55" s="210">
        <f t="shared" si="15"/>
        <v>5.2637271169433619</v>
      </c>
      <c r="K55" s="95"/>
      <c r="L55" s="210"/>
      <c r="M55" s="210">
        <v>4</v>
      </c>
      <c r="N55" s="215">
        <f t="shared" ref="N55:T56" si="16">M55*$C$1</f>
        <v>4.16</v>
      </c>
      <c r="O55" s="215">
        <f t="shared" si="16"/>
        <v>4.3264000000000005</v>
      </c>
      <c r="P55" s="215">
        <f t="shared" si="16"/>
        <v>4.4994560000000003</v>
      </c>
      <c r="Q55" s="215">
        <f t="shared" si="16"/>
        <v>4.6794342400000009</v>
      </c>
      <c r="R55" s="215">
        <f t="shared" si="16"/>
        <v>4.8666116096000014</v>
      </c>
      <c r="S55" s="215">
        <f t="shared" si="16"/>
        <v>5.0612760739840015</v>
      </c>
      <c r="T55" s="215">
        <f t="shared" si="16"/>
        <v>5.2637271169433619</v>
      </c>
      <c r="U55" s="317"/>
      <c r="V55" s="318"/>
      <c r="W55" s="11"/>
    </row>
    <row r="56" spans="1:26" s="24" customFormat="1" ht="16" customHeight="1">
      <c r="A56" s="356" t="s">
        <v>251</v>
      </c>
      <c r="B56" s="210">
        <f t="shared" si="15"/>
        <v>0</v>
      </c>
      <c r="C56" s="210">
        <f t="shared" ref="B56:C60" si="17">M56*$L$53</f>
        <v>4</v>
      </c>
      <c r="D56" s="210">
        <f t="shared" ref="D56:D60" si="18">N56*$L$53</f>
        <v>4.16</v>
      </c>
      <c r="E56" s="210">
        <f t="shared" ref="E56:E60" si="19">O56*$L$53</f>
        <v>4.3264000000000005</v>
      </c>
      <c r="F56" s="210">
        <f t="shared" ref="F56:F58" si="20">P56*$L$53</f>
        <v>4.4994560000000003</v>
      </c>
      <c r="G56" s="210">
        <f t="shared" ref="G56:G60" si="21">Q56*$L$53</f>
        <v>4.6794342400000009</v>
      </c>
      <c r="H56" s="210">
        <f t="shared" ref="H56:H60" si="22">R56*$L$53</f>
        <v>4.8666116096000014</v>
      </c>
      <c r="I56" s="210">
        <f t="shared" ref="I56:I60" si="23">S56*$L$53</f>
        <v>5.0612760739840015</v>
      </c>
      <c r="J56" s="210">
        <f t="shared" ref="J56:J60" si="24">T56*$L$53</f>
        <v>5.2637271169433619</v>
      </c>
      <c r="K56" s="11"/>
      <c r="L56" s="210"/>
      <c r="M56" s="210">
        <v>4</v>
      </c>
      <c r="N56" s="215">
        <f t="shared" si="16"/>
        <v>4.16</v>
      </c>
      <c r="O56" s="215">
        <f t="shared" si="16"/>
        <v>4.3264000000000005</v>
      </c>
      <c r="P56" s="215">
        <f t="shared" si="16"/>
        <v>4.4994560000000003</v>
      </c>
      <c r="Q56" s="215">
        <f t="shared" si="16"/>
        <v>4.6794342400000009</v>
      </c>
      <c r="R56" s="215">
        <f t="shared" si="16"/>
        <v>4.8666116096000014</v>
      </c>
      <c r="S56" s="215">
        <f t="shared" si="16"/>
        <v>5.0612760739840015</v>
      </c>
      <c r="T56" s="215">
        <f t="shared" si="16"/>
        <v>5.2637271169433619</v>
      </c>
      <c r="U56" s="317"/>
      <c r="V56" s="99"/>
      <c r="W56" s="11"/>
    </row>
    <row r="57" spans="1:26" s="24" customFormat="1" ht="16" customHeight="1">
      <c r="A57" s="356" t="s">
        <v>252</v>
      </c>
      <c r="B57" s="210">
        <f t="shared" si="15"/>
        <v>0</v>
      </c>
      <c r="C57" s="210">
        <f t="shared" si="17"/>
        <v>0</v>
      </c>
      <c r="D57" s="210">
        <f t="shared" si="18"/>
        <v>10</v>
      </c>
      <c r="E57" s="210">
        <f t="shared" si="19"/>
        <v>10.4</v>
      </c>
      <c r="F57" s="210">
        <f t="shared" si="20"/>
        <v>10.816000000000001</v>
      </c>
      <c r="G57" s="210">
        <f t="shared" si="21"/>
        <v>11.248640000000002</v>
      </c>
      <c r="H57" s="210">
        <f t="shared" si="22"/>
        <v>11.698585600000003</v>
      </c>
      <c r="I57" s="210">
        <f t="shared" si="23"/>
        <v>12.166529024000004</v>
      </c>
      <c r="J57" s="210">
        <f t="shared" si="24"/>
        <v>12.653190184960005</v>
      </c>
      <c r="K57" s="11"/>
      <c r="L57" s="210"/>
      <c r="M57" s="210"/>
      <c r="N57" s="210">
        <v>10</v>
      </c>
      <c r="O57" s="215">
        <f t="shared" ref="O57:T60" si="25">N57*$C$1</f>
        <v>10.4</v>
      </c>
      <c r="P57" s="215">
        <f t="shared" si="25"/>
        <v>10.816000000000001</v>
      </c>
      <c r="Q57" s="215">
        <f t="shared" si="25"/>
        <v>11.248640000000002</v>
      </c>
      <c r="R57" s="215">
        <f t="shared" si="25"/>
        <v>11.698585600000003</v>
      </c>
      <c r="S57" s="215">
        <f t="shared" si="25"/>
        <v>12.166529024000004</v>
      </c>
      <c r="T57" s="215">
        <f t="shared" si="25"/>
        <v>12.653190184960005</v>
      </c>
      <c r="U57" s="317"/>
      <c r="V57" s="99"/>
      <c r="W57" s="11"/>
    </row>
    <row r="58" spans="1:26" s="24" customFormat="1" ht="16" customHeight="1">
      <c r="A58" s="356" t="s">
        <v>253</v>
      </c>
      <c r="B58" s="210">
        <f t="shared" si="17"/>
        <v>0.4</v>
      </c>
      <c r="C58" s="210">
        <f t="shared" si="17"/>
        <v>0.41600000000000004</v>
      </c>
      <c r="D58" s="210">
        <f t="shared" si="18"/>
        <v>0.43264000000000008</v>
      </c>
      <c r="E58" s="210">
        <f t="shared" si="19"/>
        <v>0.44994560000000011</v>
      </c>
      <c r="F58" s="210">
        <f t="shared" si="20"/>
        <v>0.46794342400000011</v>
      </c>
      <c r="G58" s="210">
        <f t="shared" si="21"/>
        <v>0.48666116096000012</v>
      </c>
      <c r="H58" s="210">
        <f t="shared" si="22"/>
        <v>0.50612760739840013</v>
      </c>
      <c r="I58" s="210">
        <f t="shared" si="23"/>
        <v>0.52637271169433619</v>
      </c>
      <c r="J58" s="210">
        <f t="shared" si="24"/>
        <v>0.54742762016210966</v>
      </c>
      <c r="K58" s="11"/>
      <c r="L58" s="210">
        <v>0.4</v>
      </c>
      <c r="M58" s="215">
        <f t="shared" ref="M58:N60" si="26">L58*$C$1</f>
        <v>0.41600000000000004</v>
      </c>
      <c r="N58" s="215">
        <f t="shared" si="26"/>
        <v>0.43264000000000008</v>
      </c>
      <c r="O58" s="215">
        <f t="shared" si="25"/>
        <v>0.44994560000000011</v>
      </c>
      <c r="P58" s="215">
        <f t="shared" si="25"/>
        <v>0.46794342400000011</v>
      </c>
      <c r="Q58" s="215">
        <f t="shared" si="25"/>
        <v>0.48666116096000012</v>
      </c>
      <c r="R58" s="215">
        <f t="shared" si="25"/>
        <v>0.50612760739840013</v>
      </c>
      <c r="S58" s="215">
        <f t="shared" si="25"/>
        <v>0.52637271169433619</v>
      </c>
      <c r="T58" s="215">
        <f t="shared" si="25"/>
        <v>0.54742762016210966</v>
      </c>
      <c r="U58" s="317"/>
      <c r="V58" s="99"/>
      <c r="W58" s="11"/>
    </row>
    <row r="59" spans="1:26" s="24" customFormat="1" ht="16" customHeight="1">
      <c r="A59" s="356" t="s">
        <v>254</v>
      </c>
      <c r="B59" s="210">
        <f>L58*$L$53</f>
        <v>0.4</v>
      </c>
      <c r="C59" s="210">
        <f t="shared" ref="C59:H59" si="27">M58*$L$53</f>
        <v>0.41600000000000004</v>
      </c>
      <c r="D59" s="210">
        <f t="shared" si="27"/>
        <v>0.43264000000000008</v>
      </c>
      <c r="E59" s="210">
        <f t="shared" si="27"/>
        <v>0.44994560000000011</v>
      </c>
      <c r="F59" s="210">
        <f t="shared" si="27"/>
        <v>0.46794342400000011</v>
      </c>
      <c r="G59" s="210">
        <f t="shared" si="27"/>
        <v>0.48666116096000012</v>
      </c>
      <c r="H59" s="210">
        <f t="shared" si="27"/>
        <v>0.50612760739840013</v>
      </c>
      <c r="I59" s="210">
        <f>S58*$L$53</f>
        <v>0.52637271169433619</v>
      </c>
      <c r="J59" s="210">
        <f t="shared" ref="J59" si="28">T58*$L$53</f>
        <v>0.54742762016210966</v>
      </c>
      <c r="K59" s="11"/>
      <c r="L59" s="210">
        <v>0.4</v>
      </c>
      <c r="M59" s="215">
        <f t="shared" si="26"/>
        <v>0.41600000000000004</v>
      </c>
      <c r="N59" s="215">
        <f t="shared" si="26"/>
        <v>0.43264000000000008</v>
      </c>
      <c r="O59" s="215">
        <f t="shared" si="25"/>
        <v>0.44994560000000011</v>
      </c>
      <c r="P59" s="215">
        <f t="shared" si="25"/>
        <v>0.46794342400000011</v>
      </c>
      <c r="Q59" s="215">
        <f t="shared" si="25"/>
        <v>0.48666116096000012</v>
      </c>
      <c r="R59" s="215">
        <f t="shared" si="25"/>
        <v>0.50612760739840013</v>
      </c>
      <c r="S59" s="215">
        <f t="shared" si="25"/>
        <v>0.52637271169433619</v>
      </c>
      <c r="T59" s="215">
        <f t="shared" si="25"/>
        <v>0.54742762016210966</v>
      </c>
      <c r="U59" s="317"/>
      <c r="V59" s="99"/>
      <c r="W59" s="11"/>
    </row>
    <row r="60" spans="1:26" s="24" customFormat="1" ht="16" customHeight="1">
      <c r="A60" s="356" t="s">
        <v>255</v>
      </c>
      <c r="B60" s="210">
        <f t="shared" si="15"/>
        <v>0.6</v>
      </c>
      <c r="C60" s="210">
        <f t="shared" si="17"/>
        <v>0.624</v>
      </c>
      <c r="D60" s="210">
        <f t="shared" si="18"/>
        <v>0.64895999999999998</v>
      </c>
      <c r="E60" s="210">
        <f t="shared" si="19"/>
        <v>0.67491840000000003</v>
      </c>
      <c r="F60" s="210">
        <f>P60*$L$53</f>
        <v>0.70191513600000011</v>
      </c>
      <c r="G60" s="210">
        <f t="shared" si="21"/>
        <v>0.72999174144000012</v>
      </c>
      <c r="H60" s="210">
        <f t="shared" si="22"/>
        <v>0.75919141109760013</v>
      </c>
      <c r="I60" s="210">
        <f t="shared" si="23"/>
        <v>0.78955906754150418</v>
      </c>
      <c r="J60" s="210">
        <f t="shared" si="24"/>
        <v>0.82114143024316433</v>
      </c>
      <c r="K60" s="11"/>
      <c r="L60" s="210">
        <v>0.6</v>
      </c>
      <c r="M60" s="215">
        <f t="shared" si="26"/>
        <v>0.624</v>
      </c>
      <c r="N60" s="215">
        <f t="shared" si="26"/>
        <v>0.64895999999999998</v>
      </c>
      <c r="O60" s="215">
        <f t="shared" si="25"/>
        <v>0.67491840000000003</v>
      </c>
      <c r="P60" s="215">
        <f t="shared" si="25"/>
        <v>0.70191513600000011</v>
      </c>
      <c r="Q60" s="215">
        <f t="shared" si="25"/>
        <v>0.72999174144000012</v>
      </c>
      <c r="R60" s="215">
        <f t="shared" si="25"/>
        <v>0.75919141109760013</v>
      </c>
      <c r="S60" s="215">
        <f t="shared" si="25"/>
        <v>0.78955906754150418</v>
      </c>
      <c r="T60" s="215">
        <f t="shared" si="25"/>
        <v>0.82114143024316433</v>
      </c>
      <c r="U60" s="317"/>
      <c r="V60" s="99"/>
    </row>
    <row r="61" spans="1:26" s="24" customFormat="1" ht="18">
      <c r="A61" s="94"/>
      <c r="B61" s="95"/>
      <c r="C61" s="95"/>
      <c r="D61" s="95"/>
      <c r="E61" s="95"/>
      <c r="F61" s="95"/>
      <c r="G61" s="19"/>
      <c r="H61" s="19"/>
      <c r="I61" s="11"/>
      <c r="J61" s="11"/>
      <c r="K61" s="11"/>
      <c r="L61" s="12" t="s">
        <v>222</v>
      </c>
      <c r="M61" s="11"/>
    </row>
    <row r="62" spans="1:26" s="24" customFormat="1">
      <c r="G62" s="19"/>
      <c r="H62" s="19"/>
      <c r="I62" s="11"/>
      <c r="J62" s="11"/>
      <c r="K62" s="11"/>
      <c r="L62" s="19">
        <v>1</v>
      </c>
      <c r="M62" s="11"/>
    </row>
    <row r="63" spans="1:26" s="24" customFormat="1" ht="19" thickBot="1">
      <c r="A63" s="57" t="s">
        <v>211</v>
      </c>
      <c r="F63" s="24">
        <v>1.1000000000000001</v>
      </c>
    </row>
    <row r="64" spans="1:26" s="24" customFormat="1" ht="21" thickTop="1" thickBot="1">
      <c r="A64" s="136" t="s">
        <v>124</v>
      </c>
      <c r="B64" s="135" t="s">
        <v>66</v>
      </c>
      <c r="C64" s="135" t="s">
        <v>67</v>
      </c>
      <c r="D64" s="135" t="s">
        <v>68</v>
      </c>
      <c r="E64" s="135" t="s">
        <v>173</v>
      </c>
      <c r="F64" s="135" t="s">
        <v>174</v>
      </c>
      <c r="G64" s="135" t="s">
        <v>175</v>
      </c>
      <c r="H64" s="135" t="s">
        <v>176</v>
      </c>
      <c r="I64" s="135" t="s">
        <v>177</v>
      </c>
      <c r="J64" s="135" t="s">
        <v>178</v>
      </c>
      <c r="K64" s="283" t="s">
        <v>221</v>
      </c>
      <c r="L64" s="308">
        <f t="shared" ref="L64:T69" si="29">B55*B25</f>
        <v>0</v>
      </c>
      <c r="M64" s="308">
        <f t="shared" si="29"/>
        <v>1760.0000000000002</v>
      </c>
      <c r="N64" s="308">
        <f t="shared" si="29"/>
        <v>1235.52</v>
      </c>
      <c r="O64" s="308">
        <f t="shared" si="29"/>
        <v>1427.7120000000002</v>
      </c>
      <c r="P64" s="308">
        <f t="shared" si="29"/>
        <v>1484.8204800000001</v>
      </c>
      <c r="Q64" s="308">
        <f t="shared" si="29"/>
        <v>1544.2132992000004</v>
      </c>
      <c r="R64" s="308">
        <f t="shared" si="29"/>
        <v>1605.9818311680006</v>
      </c>
      <c r="S64" s="308">
        <f t="shared" si="29"/>
        <v>1670.2211044147205</v>
      </c>
      <c r="T64" s="308">
        <f t="shared" si="29"/>
        <v>1737.0299485913094</v>
      </c>
    </row>
    <row r="65" spans="1:20" s="24" customFormat="1" ht="20" customHeight="1" thickTop="1" thickBot="1">
      <c r="A65" s="355" t="s">
        <v>250</v>
      </c>
      <c r="B65" s="281">
        <f>L64*$L$62</f>
        <v>0</v>
      </c>
      <c r="C65" s="281">
        <f t="shared" ref="C65:J70" si="30">M64*$L$62</f>
        <v>1760.0000000000002</v>
      </c>
      <c r="D65" s="281">
        <f t="shared" si="30"/>
        <v>1235.52</v>
      </c>
      <c r="E65" s="281">
        <f t="shared" si="30"/>
        <v>1427.7120000000002</v>
      </c>
      <c r="F65" s="281">
        <f t="shared" si="30"/>
        <v>1484.8204800000001</v>
      </c>
      <c r="G65" s="281">
        <f t="shared" si="30"/>
        <v>1544.2132992000004</v>
      </c>
      <c r="H65" s="281">
        <f t="shared" si="30"/>
        <v>1605.9818311680006</v>
      </c>
      <c r="I65" s="281">
        <f t="shared" si="30"/>
        <v>1670.2211044147205</v>
      </c>
      <c r="J65" s="281">
        <f t="shared" si="30"/>
        <v>1737.0299485913094</v>
      </c>
      <c r="K65" s="23">
        <f>SUM(B65:J65)</f>
        <v>12465.498663374032</v>
      </c>
      <c r="L65" s="308">
        <f t="shared" si="29"/>
        <v>0</v>
      </c>
      <c r="M65" s="308">
        <f t="shared" si="29"/>
        <v>880.00000000000011</v>
      </c>
      <c r="N65" s="308">
        <f t="shared" si="29"/>
        <v>1144</v>
      </c>
      <c r="O65" s="308">
        <f t="shared" si="29"/>
        <v>1427.7120000000002</v>
      </c>
      <c r="P65" s="308">
        <f t="shared" si="29"/>
        <v>1484.8204800000001</v>
      </c>
      <c r="Q65" s="308">
        <f t="shared" si="29"/>
        <v>1544.2132992000004</v>
      </c>
      <c r="R65" s="308">
        <f t="shared" si="29"/>
        <v>1605.9818311680006</v>
      </c>
      <c r="S65" s="308">
        <f t="shared" si="29"/>
        <v>1670.2211044147205</v>
      </c>
      <c r="T65" s="308">
        <f t="shared" si="29"/>
        <v>1737.0299485913094</v>
      </c>
    </row>
    <row r="66" spans="1:20" s="24" customFormat="1" ht="18.75" customHeight="1" thickTop="1" thickBot="1">
      <c r="A66" s="356" t="s">
        <v>251</v>
      </c>
      <c r="B66" s="281">
        <f t="shared" ref="B66" si="31">L65*$L$62</f>
        <v>0</v>
      </c>
      <c r="C66" s="281">
        <f t="shared" si="30"/>
        <v>880.00000000000011</v>
      </c>
      <c r="D66" s="281">
        <f t="shared" si="30"/>
        <v>1144</v>
      </c>
      <c r="E66" s="281">
        <f t="shared" si="30"/>
        <v>1427.7120000000002</v>
      </c>
      <c r="F66" s="281">
        <f t="shared" si="30"/>
        <v>1484.8204800000001</v>
      </c>
      <c r="G66" s="281">
        <f t="shared" si="30"/>
        <v>1544.2132992000004</v>
      </c>
      <c r="H66" s="281">
        <f t="shared" si="30"/>
        <v>1605.9818311680006</v>
      </c>
      <c r="I66" s="281">
        <f t="shared" si="30"/>
        <v>1670.2211044147205</v>
      </c>
      <c r="J66" s="281">
        <f t="shared" si="30"/>
        <v>1737.0299485913094</v>
      </c>
      <c r="K66" s="23">
        <f t="shared" ref="K66:K70" si="32">SUM(B66:J66)</f>
        <v>11493.978663374031</v>
      </c>
      <c r="L66" s="308">
        <f t="shared" si="29"/>
        <v>0</v>
      </c>
      <c r="M66" s="308">
        <f t="shared" si="29"/>
        <v>0</v>
      </c>
      <c r="N66" s="308">
        <f t="shared" si="29"/>
        <v>550.00000000000011</v>
      </c>
      <c r="O66" s="308">
        <f t="shared" si="29"/>
        <v>572.00000000000011</v>
      </c>
      <c r="P66" s="308">
        <f t="shared" si="29"/>
        <v>1189.7600000000002</v>
      </c>
      <c r="Q66" s="308">
        <f t="shared" si="29"/>
        <v>1237.3504000000003</v>
      </c>
      <c r="R66" s="308">
        <f t="shared" si="29"/>
        <v>1286.8444160000006</v>
      </c>
      <c r="S66" s="308">
        <f t="shared" si="29"/>
        <v>2676.6363852800014</v>
      </c>
      <c r="T66" s="308">
        <f t="shared" si="29"/>
        <v>2783.7018406912016</v>
      </c>
    </row>
    <row r="67" spans="1:20" s="24" customFormat="1" ht="18.75" customHeight="1" thickTop="1" thickBot="1">
      <c r="A67" s="356" t="s">
        <v>252</v>
      </c>
      <c r="B67" s="281">
        <f>L66*$L$62</f>
        <v>0</v>
      </c>
      <c r="C67" s="281">
        <f t="shared" si="30"/>
        <v>0</v>
      </c>
      <c r="D67" s="281">
        <f t="shared" si="30"/>
        <v>550.00000000000011</v>
      </c>
      <c r="E67" s="281">
        <f t="shared" si="30"/>
        <v>572.00000000000011</v>
      </c>
      <c r="F67" s="281">
        <f t="shared" si="30"/>
        <v>1189.7600000000002</v>
      </c>
      <c r="G67" s="281">
        <f t="shared" si="30"/>
        <v>1237.3504000000003</v>
      </c>
      <c r="H67" s="281">
        <f t="shared" si="30"/>
        <v>1286.8444160000006</v>
      </c>
      <c r="I67" s="281">
        <f t="shared" si="30"/>
        <v>2676.6363852800014</v>
      </c>
      <c r="J67" s="281">
        <f t="shared" si="30"/>
        <v>2783.7018406912016</v>
      </c>
      <c r="K67" s="23">
        <f t="shared" si="32"/>
        <v>10296.293041971205</v>
      </c>
      <c r="L67" s="308">
        <f t="shared" si="29"/>
        <v>12000</v>
      </c>
      <c r="M67" s="308">
        <f t="shared" si="29"/>
        <v>27456.000000000004</v>
      </c>
      <c r="N67" s="308">
        <f t="shared" si="29"/>
        <v>38072.320000000007</v>
      </c>
      <c r="O67" s="308">
        <f t="shared" si="29"/>
        <v>49494.016000000018</v>
      </c>
      <c r="P67" s="308">
        <f t="shared" si="29"/>
        <v>61768.531968000018</v>
      </c>
      <c r="Q67" s="308">
        <f t="shared" si="29"/>
        <v>64239.273246720019</v>
      </c>
      <c r="R67" s="308">
        <f t="shared" si="29"/>
        <v>66808.844176588813</v>
      </c>
      <c r="S67" s="308">
        <f t="shared" si="29"/>
        <v>69481.197943652383</v>
      </c>
      <c r="T67" s="308">
        <f t="shared" si="29"/>
        <v>72260.445861398475</v>
      </c>
    </row>
    <row r="68" spans="1:20" s="24" customFormat="1" ht="18.75" customHeight="1" thickTop="1" thickBot="1">
      <c r="A68" s="356" t="s">
        <v>253</v>
      </c>
      <c r="B68" s="281">
        <f>L67*$L$62</f>
        <v>12000</v>
      </c>
      <c r="C68" s="281">
        <f t="shared" si="30"/>
        <v>27456.000000000004</v>
      </c>
      <c r="D68" s="281">
        <f t="shared" si="30"/>
        <v>38072.320000000007</v>
      </c>
      <c r="E68" s="281">
        <f t="shared" si="30"/>
        <v>49494.016000000018</v>
      </c>
      <c r="F68" s="281">
        <f t="shared" si="30"/>
        <v>61768.531968000018</v>
      </c>
      <c r="G68" s="281">
        <f t="shared" si="30"/>
        <v>64239.273246720019</v>
      </c>
      <c r="H68" s="281">
        <f>R67*$L$62</f>
        <v>66808.844176588813</v>
      </c>
      <c r="I68" s="281">
        <f t="shared" ref="I68" si="33">S67*$L$62</f>
        <v>69481.197943652383</v>
      </c>
      <c r="J68" s="281">
        <f t="shared" ref="J68" si="34">T67*$L$62</f>
        <v>72260.445861398475</v>
      </c>
      <c r="K68" s="23">
        <f t="shared" si="32"/>
        <v>461580.62919635978</v>
      </c>
      <c r="L68" s="308">
        <f t="shared" si="29"/>
        <v>8800</v>
      </c>
      <c r="M68" s="308">
        <f t="shared" si="29"/>
        <v>13728.000000000002</v>
      </c>
      <c r="N68" s="308">
        <f t="shared" si="29"/>
        <v>19036.160000000003</v>
      </c>
      <c r="O68" s="308">
        <f t="shared" si="29"/>
        <v>24747.008000000009</v>
      </c>
      <c r="P68" s="308">
        <f t="shared" si="29"/>
        <v>30884.265984000009</v>
      </c>
      <c r="Q68" s="308">
        <f t="shared" si="29"/>
        <v>32119.636623360009</v>
      </c>
      <c r="R68" s="308">
        <f t="shared" si="29"/>
        <v>33404.422088294406</v>
      </c>
      <c r="S68" s="308">
        <f t="shared" si="29"/>
        <v>34740.598971826192</v>
      </c>
      <c r="T68" s="308">
        <f t="shared" si="29"/>
        <v>36130.222930699238</v>
      </c>
    </row>
    <row r="69" spans="1:20" s="24" customFormat="1" ht="18.75" customHeight="1" thickTop="1" thickBot="1">
      <c r="A69" s="356" t="s">
        <v>254</v>
      </c>
      <c r="B69" s="281">
        <f>L68*$L$62</f>
        <v>8800</v>
      </c>
      <c r="C69" s="281">
        <f t="shared" ref="C69:J69" si="35">M67*$L$62</f>
        <v>27456.000000000004</v>
      </c>
      <c r="D69" s="281">
        <f t="shared" si="35"/>
        <v>38072.320000000007</v>
      </c>
      <c r="E69" s="281">
        <f t="shared" si="35"/>
        <v>49494.016000000018</v>
      </c>
      <c r="F69" s="281">
        <f t="shared" si="35"/>
        <v>61768.531968000018</v>
      </c>
      <c r="G69" s="281">
        <f t="shared" si="35"/>
        <v>64239.273246720019</v>
      </c>
      <c r="H69" s="281">
        <f t="shared" si="35"/>
        <v>66808.844176588813</v>
      </c>
      <c r="I69" s="281">
        <f t="shared" si="35"/>
        <v>69481.197943652383</v>
      </c>
      <c r="J69" s="281">
        <f t="shared" si="35"/>
        <v>72260.445861398475</v>
      </c>
      <c r="K69" s="23">
        <f t="shared" si="32"/>
        <v>458380.62919635978</v>
      </c>
      <c r="L69" s="308">
        <f t="shared" si="29"/>
        <v>13200</v>
      </c>
      <c r="M69" s="308">
        <f t="shared" si="29"/>
        <v>20592</v>
      </c>
      <c r="N69" s="308">
        <f t="shared" si="29"/>
        <v>28554.239999999998</v>
      </c>
      <c r="O69" s="308">
        <f t="shared" si="29"/>
        <v>37120.51200000001</v>
      </c>
      <c r="P69" s="308">
        <f t="shared" si="29"/>
        <v>46326.398976000004</v>
      </c>
      <c r="Q69" s="308">
        <f t="shared" si="29"/>
        <v>48179.454935040005</v>
      </c>
      <c r="R69" s="308">
        <f t="shared" si="29"/>
        <v>50106.63313244161</v>
      </c>
      <c r="S69" s="308">
        <f t="shared" si="29"/>
        <v>52110.898457739277</v>
      </c>
      <c r="T69" s="308">
        <f t="shared" si="29"/>
        <v>54195.334396048849</v>
      </c>
    </row>
    <row r="70" spans="1:20" s="24" customFormat="1" ht="18.75" customHeight="1" thickTop="1">
      <c r="A70" s="356" t="s">
        <v>255</v>
      </c>
      <c r="B70" s="281">
        <f>L69*$L$62</f>
        <v>13200</v>
      </c>
      <c r="C70" s="281">
        <f t="shared" si="30"/>
        <v>20592</v>
      </c>
      <c r="D70" s="281">
        <f t="shared" si="30"/>
        <v>28554.239999999998</v>
      </c>
      <c r="E70" s="281">
        <f t="shared" si="30"/>
        <v>37120.51200000001</v>
      </c>
      <c r="F70" s="281">
        <f t="shared" si="30"/>
        <v>46326.398976000004</v>
      </c>
      <c r="G70" s="281">
        <f t="shared" si="30"/>
        <v>48179.454935040005</v>
      </c>
      <c r="H70" s="281">
        <f t="shared" si="30"/>
        <v>50106.63313244161</v>
      </c>
      <c r="I70" s="281">
        <f t="shared" si="30"/>
        <v>52110.898457739277</v>
      </c>
      <c r="J70" s="281">
        <f t="shared" si="30"/>
        <v>54195.334396048849</v>
      </c>
      <c r="K70" s="23">
        <f t="shared" si="32"/>
        <v>350385.47189726977</v>
      </c>
      <c r="L70" s="216"/>
      <c r="M70" s="216"/>
      <c r="N70" s="216"/>
      <c r="O70" s="216"/>
      <c r="P70" s="216"/>
      <c r="Q70" s="216"/>
      <c r="R70" s="216"/>
      <c r="S70" s="216"/>
      <c r="T70" s="216"/>
    </row>
    <row r="71" spans="1:20" ht="19">
      <c r="A71" s="235" t="s">
        <v>44</v>
      </c>
      <c r="B71" s="100">
        <f>SUM(B65:B70)</f>
        <v>34000</v>
      </c>
      <c r="C71" s="100">
        <f t="shared" ref="C71:J71" si="36">SUM(C65:C70)</f>
        <v>78144</v>
      </c>
      <c r="D71" s="100">
        <f t="shared" si="36"/>
        <v>107628.4</v>
      </c>
      <c r="E71" s="100">
        <f t="shared" si="36"/>
        <v>139535.96800000005</v>
      </c>
      <c r="F71" s="100">
        <f t="shared" si="36"/>
        <v>174022.86387200005</v>
      </c>
      <c r="G71" s="100">
        <f t="shared" si="36"/>
        <v>180983.77842688005</v>
      </c>
      <c r="H71" s="100">
        <f t="shared" si="36"/>
        <v>188223.12956395524</v>
      </c>
      <c r="I71" s="100">
        <f t="shared" si="36"/>
        <v>197090.37293915346</v>
      </c>
      <c r="J71" s="100">
        <f t="shared" si="36"/>
        <v>204973.98785671964</v>
      </c>
      <c r="K71" s="23">
        <f>SUM(K65:K70)</f>
        <v>1304602.5006587086</v>
      </c>
      <c r="L71" s="24"/>
      <c r="M71" s="24"/>
      <c r="N71" s="24"/>
    </row>
    <row r="72" spans="1:20" s="19" customFormat="1" ht="18">
      <c r="A72" s="97"/>
      <c r="B72" s="99"/>
      <c r="C72" s="99"/>
      <c r="D72" s="99"/>
      <c r="E72" s="99"/>
      <c r="F72" s="99"/>
      <c r="G72" s="24"/>
      <c r="H72" s="24"/>
      <c r="I72" s="24"/>
      <c r="J72" s="24"/>
      <c r="K72" s="24"/>
      <c r="L72" s="24"/>
      <c r="M72" s="24"/>
      <c r="N72" s="24"/>
    </row>
    <row r="73" spans="1:20" s="19" customFormat="1" ht="20" thickBot="1">
      <c r="A73" s="397" t="s">
        <v>72</v>
      </c>
      <c r="B73" s="398"/>
      <c r="C73" s="398"/>
      <c r="D73" s="398"/>
      <c r="E73" s="399"/>
      <c r="F73"/>
      <c r="G73"/>
      <c r="H73" s="24"/>
      <c r="I73" s="24"/>
      <c r="J73"/>
      <c r="K73"/>
      <c r="L73"/>
      <c r="M73"/>
    </row>
    <row r="74" spans="1:20" s="19" customFormat="1" ht="19" thickBot="1">
      <c r="A74" s="132" t="s">
        <v>70</v>
      </c>
      <c r="B74" s="135" t="s">
        <v>66</v>
      </c>
      <c r="C74" s="135" t="s">
        <v>67</v>
      </c>
      <c r="D74" s="135" t="s">
        <v>68</v>
      </c>
      <c r="E74" s="135" t="s">
        <v>173</v>
      </c>
      <c r="F74" s="135" t="s">
        <v>174</v>
      </c>
      <c r="G74" s="135" t="s">
        <v>175</v>
      </c>
      <c r="H74" s="135" t="s">
        <v>176</v>
      </c>
      <c r="I74" s="135" t="s">
        <v>177</v>
      </c>
      <c r="J74" s="135" t="s">
        <v>178</v>
      </c>
      <c r="K74"/>
      <c r="L74"/>
    </row>
    <row r="75" spans="1:20" s="19" customFormat="1" ht="19" thickBot="1">
      <c r="A75" s="359" t="s">
        <v>256</v>
      </c>
      <c r="B75" s="336">
        <v>1500</v>
      </c>
      <c r="C75" s="336">
        <v>0</v>
      </c>
      <c r="D75" s="336">
        <f t="shared" ref="D75:J75" si="37">C75*$C$1</f>
        <v>0</v>
      </c>
      <c r="E75" s="336">
        <f t="shared" si="37"/>
        <v>0</v>
      </c>
      <c r="F75" s="372">
        <f t="shared" si="37"/>
        <v>0</v>
      </c>
      <c r="G75" s="372">
        <f t="shared" si="37"/>
        <v>0</v>
      </c>
      <c r="H75" s="372">
        <f t="shared" si="37"/>
        <v>0</v>
      </c>
      <c r="I75" s="372">
        <f t="shared" si="37"/>
        <v>0</v>
      </c>
      <c r="J75" s="373">
        <f t="shared" si="37"/>
        <v>0</v>
      </c>
      <c r="K75"/>
      <c r="L75"/>
    </row>
    <row r="76" spans="1:20" s="19" customFormat="1" ht="21" thickTop="1" thickBot="1">
      <c r="A76" s="359" t="s">
        <v>257</v>
      </c>
      <c r="B76" s="336">
        <v>35000</v>
      </c>
      <c r="C76" s="336">
        <v>8000</v>
      </c>
      <c r="D76" s="336" t="s">
        <v>234</v>
      </c>
      <c r="E76" s="336" t="s">
        <v>234</v>
      </c>
      <c r="F76" s="372" t="s">
        <v>234</v>
      </c>
      <c r="G76" s="372" t="s">
        <v>234</v>
      </c>
      <c r="H76" s="372" t="s">
        <v>234</v>
      </c>
      <c r="I76" s="372" t="s">
        <v>234</v>
      </c>
      <c r="J76" s="373" t="s">
        <v>234</v>
      </c>
      <c r="K76" s="24"/>
      <c r="L76" s="24"/>
    </row>
    <row r="77" spans="1:20" ht="20" thickTop="1" thickBot="1">
      <c r="A77" s="359" t="s">
        <v>258</v>
      </c>
      <c r="B77" s="336">
        <v>0</v>
      </c>
      <c r="C77" s="336">
        <v>4000</v>
      </c>
      <c r="D77" s="336">
        <f t="shared" ref="D77:J81" si="38">C77*$C$1</f>
        <v>4160</v>
      </c>
      <c r="E77" s="336">
        <f t="shared" si="38"/>
        <v>4326.4000000000005</v>
      </c>
      <c r="F77" s="372">
        <f t="shared" si="38"/>
        <v>4499.456000000001</v>
      </c>
      <c r="G77" s="372">
        <f t="shared" si="38"/>
        <v>4679.4342400000014</v>
      </c>
      <c r="H77" s="372">
        <f t="shared" si="38"/>
        <v>4866.6116096000014</v>
      </c>
      <c r="I77" s="372">
        <f t="shared" si="38"/>
        <v>5061.2760739840014</v>
      </c>
      <c r="J77" s="373">
        <f t="shared" si="38"/>
        <v>5263.7271169433616</v>
      </c>
    </row>
    <row r="78" spans="1:20" ht="20" thickTop="1" thickBot="1">
      <c r="A78" s="359" t="s">
        <v>244</v>
      </c>
      <c r="B78" s="336">
        <v>200</v>
      </c>
      <c r="C78" s="336">
        <f>B78*$C$1</f>
        <v>208</v>
      </c>
      <c r="D78" s="336">
        <f t="shared" si="38"/>
        <v>216.32</v>
      </c>
      <c r="E78" s="336">
        <f t="shared" si="38"/>
        <v>224.97280000000001</v>
      </c>
      <c r="F78" s="372">
        <f t="shared" si="38"/>
        <v>233.97171200000003</v>
      </c>
      <c r="G78" s="372">
        <f t="shared" si="38"/>
        <v>243.33058048000004</v>
      </c>
      <c r="H78" s="372">
        <f t="shared" si="38"/>
        <v>253.06380369920004</v>
      </c>
      <c r="I78" s="372">
        <f t="shared" si="38"/>
        <v>263.18635584716804</v>
      </c>
      <c r="J78" s="373">
        <f t="shared" si="38"/>
        <v>273.71381008105476</v>
      </c>
      <c r="K78" s="19"/>
      <c r="L78" s="19"/>
    </row>
    <row r="79" spans="1:20" ht="20" thickTop="1" thickBot="1">
      <c r="A79" s="359" t="s">
        <v>229</v>
      </c>
      <c r="B79" s="336">
        <v>28.8</v>
      </c>
      <c r="C79" s="336">
        <f t="shared" ref="C79:C81" si="39">B79*$C$1</f>
        <v>29.952000000000002</v>
      </c>
      <c r="D79" s="336">
        <f t="shared" si="38"/>
        <v>31.150080000000003</v>
      </c>
      <c r="E79" s="336">
        <f t="shared" si="38"/>
        <v>32.396083200000007</v>
      </c>
      <c r="F79" s="372">
        <f t="shared" si="38"/>
        <v>33.69192652800001</v>
      </c>
      <c r="G79" s="372">
        <f t="shared" si="38"/>
        <v>35.039603589120013</v>
      </c>
      <c r="H79" s="372">
        <f t="shared" si="38"/>
        <v>36.441187732684817</v>
      </c>
      <c r="I79" s="372">
        <f t="shared" si="38"/>
        <v>37.898835241992209</v>
      </c>
      <c r="J79" s="373">
        <f t="shared" si="38"/>
        <v>39.414788651671898</v>
      </c>
      <c r="K79" s="19"/>
      <c r="L79" s="19"/>
    </row>
    <row r="80" spans="1:20" s="24" customFormat="1" ht="20" thickTop="1" thickBot="1">
      <c r="A80" s="360" t="s">
        <v>245</v>
      </c>
      <c r="B80" s="337">
        <v>1000</v>
      </c>
      <c r="C80" s="336">
        <f t="shared" si="39"/>
        <v>1040</v>
      </c>
      <c r="D80" s="336">
        <f t="shared" si="38"/>
        <v>1081.6000000000001</v>
      </c>
      <c r="E80" s="336">
        <f t="shared" si="38"/>
        <v>1124.8640000000003</v>
      </c>
      <c r="F80" s="372">
        <f t="shared" si="38"/>
        <v>1169.8585600000004</v>
      </c>
      <c r="G80" s="372">
        <f t="shared" si="38"/>
        <v>1216.6529024000004</v>
      </c>
      <c r="H80" s="372">
        <f t="shared" si="38"/>
        <v>1265.3190184960004</v>
      </c>
      <c r="I80" s="372">
        <f t="shared" si="38"/>
        <v>1315.9317792358404</v>
      </c>
      <c r="J80" s="373">
        <f t="shared" si="38"/>
        <v>1368.5690504052741</v>
      </c>
      <c r="K80" s="19"/>
      <c r="L80" s="19"/>
      <c r="M80" s="256"/>
    </row>
    <row r="81" spans="1:14" s="24" customFormat="1" ht="20" thickTop="1" thickBot="1">
      <c r="A81" s="360" t="s">
        <v>232</v>
      </c>
      <c r="B81" s="337">
        <v>50</v>
      </c>
      <c r="C81" s="336">
        <f t="shared" si="39"/>
        <v>52</v>
      </c>
      <c r="D81" s="336">
        <f t="shared" si="38"/>
        <v>54.08</v>
      </c>
      <c r="E81" s="336">
        <f t="shared" si="38"/>
        <v>56.243200000000002</v>
      </c>
      <c r="F81" s="372">
        <f t="shared" si="38"/>
        <v>58.492928000000006</v>
      </c>
      <c r="G81" s="372">
        <f t="shared" si="38"/>
        <v>60.832645120000009</v>
      </c>
      <c r="H81" s="372">
        <f t="shared" si="38"/>
        <v>63.265950924800009</v>
      </c>
      <c r="I81" s="372">
        <f t="shared" si="38"/>
        <v>65.796588961792011</v>
      </c>
      <c r="J81" s="373">
        <f t="shared" si="38"/>
        <v>68.42845252026369</v>
      </c>
      <c r="K81" s="19"/>
      <c r="L81" s="19"/>
      <c r="M81" s="256"/>
    </row>
    <row r="82" spans="1:14" s="24" customFormat="1" ht="21" thickTop="1" thickBot="1">
      <c r="A82" s="360" t="s">
        <v>231</v>
      </c>
      <c r="B82" s="337">
        <v>142.19999999999999</v>
      </c>
      <c r="C82" s="336" t="s">
        <v>234</v>
      </c>
      <c r="D82" s="336" t="s">
        <v>234</v>
      </c>
      <c r="E82" s="336" t="s">
        <v>234</v>
      </c>
      <c r="F82" s="372" t="s">
        <v>234</v>
      </c>
      <c r="G82" s="374">
        <v>188.13</v>
      </c>
      <c r="H82" s="374" t="s">
        <v>234</v>
      </c>
      <c r="I82" s="374" t="s">
        <v>234</v>
      </c>
      <c r="J82" s="374" t="s">
        <v>234</v>
      </c>
      <c r="K82" s="19"/>
      <c r="L82" s="19"/>
      <c r="M82" s="256"/>
    </row>
    <row r="83" spans="1:14" s="24" customFormat="1" ht="20" thickTop="1" thickBot="1">
      <c r="A83" s="360" t="s">
        <v>200</v>
      </c>
      <c r="B83" s="336">
        <v>0</v>
      </c>
      <c r="C83" s="336">
        <v>70</v>
      </c>
      <c r="D83" s="336">
        <f t="shared" ref="D83:J83" si="40">C83*$C$1</f>
        <v>72.8</v>
      </c>
      <c r="E83" s="336">
        <f t="shared" si="40"/>
        <v>75.712000000000003</v>
      </c>
      <c r="F83" s="372">
        <f t="shared" si="40"/>
        <v>78.740480000000005</v>
      </c>
      <c r="G83" s="372">
        <f t="shared" si="40"/>
        <v>81.890099200000009</v>
      </c>
      <c r="H83" s="372">
        <f t="shared" si="40"/>
        <v>85.165703168000007</v>
      </c>
      <c r="I83" s="372">
        <f t="shared" si="40"/>
        <v>88.572331294720016</v>
      </c>
      <c r="J83" s="373">
        <f t="shared" si="40"/>
        <v>92.115224546508813</v>
      </c>
      <c r="K83" s="19"/>
      <c r="L83" s="19"/>
      <c r="M83" s="256"/>
    </row>
    <row r="84" spans="1:14" s="24" customFormat="1" ht="19" thickTop="1">
      <c r="A84" s="361" t="s">
        <v>259</v>
      </c>
      <c r="B84" s="336">
        <v>0</v>
      </c>
      <c r="C84" s="336">
        <v>4000</v>
      </c>
      <c r="D84" s="336">
        <v>500</v>
      </c>
      <c r="E84" s="336">
        <f>D84*$C$1</f>
        <v>520</v>
      </c>
      <c r="F84" s="372">
        <f t="shared" ref="F84:J84" si="41">E84*$C$1</f>
        <v>540.80000000000007</v>
      </c>
      <c r="G84" s="372">
        <f t="shared" si="41"/>
        <v>562.43200000000013</v>
      </c>
      <c r="H84" s="372">
        <f>G84*$C$1</f>
        <v>584.92928000000018</v>
      </c>
      <c r="I84" s="372">
        <f t="shared" si="41"/>
        <v>608.32645120000018</v>
      </c>
      <c r="J84" s="373">
        <f t="shared" si="41"/>
        <v>632.65950924800018</v>
      </c>
      <c r="K84" s="19"/>
      <c r="L84" s="19"/>
      <c r="M84" s="256"/>
    </row>
    <row r="85" spans="1:14" s="24" customFormat="1" ht="18">
      <c r="A85" s="361" t="s">
        <v>230</v>
      </c>
      <c r="B85" s="336">
        <f>B9</f>
        <v>0</v>
      </c>
      <c r="C85" s="336">
        <f t="shared" ref="C85:J85" si="42">C9</f>
        <v>1200</v>
      </c>
      <c r="D85" s="336">
        <f>C85*$C$1</f>
        <v>1248</v>
      </c>
      <c r="E85" s="336">
        <f>D85*$C$1</f>
        <v>1297.92</v>
      </c>
      <c r="F85" s="372">
        <f t="shared" si="42"/>
        <v>1349.8368</v>
      </c>
      <c r="G85" s="372">
        <f t="shared" si="42"/>
        <v>1403.8302720000002</v>
      </c>
      <c r="H85" s="372">
        <f t="shared" si="42"/>
        <v>1459.9834828800003</v>
      </c>
      <c r="I85" s="372">
        <f t="shared" si="42"/>
        <v>1518.3828221952003</v>
      </c>
      <c r="J85" s="373">
        <f t="shared" si="42"/>
        <v>1579.1181350830082</v>
      </c>
      <c r="K85" s="19"/>
      <c r="L85" s="19"/>
      <c r="M85" s="256"/>
    </row>
    <row r="86" spans="1:14" ht="19">
      <c r="A86" s="304" t="s">
        <v>44</v>
      </c>
      <c r="B86" s="243">
        <f>SUM(B75:B85)</f>
        <v>37921</v>
      </c>
      <c r="C86" s="243">
        <f t="shared" ref="C86:J86" si="43">SUM(C75:C85)</f>
        <v>18599.951999999997</v>
      </c>
      <c r="D86" s="243">
        <f>SUM(D75:D85)</f>
        <v>7363.9500800000005</v>
      </c>
      <c r="E86" s="243">
        <f t="shared" si="43"/>
        <v>7658.5080832000021</v>
      </c>
      <c r="F86" s="375">
        <f t="shared" si="43"/>
        <v>7964.8484065280018</v>
      </c>
      <c r="G86" s="375">
        <f>SUM(G75:G85)</f>
        <v>8471.5723427891207</v>
      </c>
      <c r="H86" s="375">
        <f t="shared" si="43"/>
        <v>8614.7800365006879</v>
      </c>
      <c r="I86" s="375">
        <f t="shared" si="43"/>
        <v>8959.371237960715</v>
      </c>
      <c r="J86" s="375">
        <f t="shared" si="43"/>
        <v>9317.7460874791432</v>
      </c>
      <c r="K86" s="19"/>
      <c r="L86" s="19"/>
    </row>
    <row r="87" spans="1:14" s="24" customFormat="1" ht="18">
      <c r="A87" s="98"/>
      <c r="B87" s="108"/>
      <c r="C87" s="108"/>
      <c r="D87" s="108"/>
      <c r="E87" s="108"/>
      <c r="F87" s="101"/>
      <c r="G87" s="19"/>
      <c r="H87" s="19"/>
      <c r="I87" s="19"/>
      <c r="J87" s="19"/>
      <c r="K87" s="19"/>
      <c r="L87" s="19"/>
      <c r="M87" s="19"/>
    </row>
    <row r="88" spans="1:14" s="24" customFormat="1" ht="20" thickBot="1">
      <c r="A88" s="109" t="s">
        <v>19</v>
      </c>
      <c r="B88" s="90">
        <v>3</v>
      </c>
      <c r="C88" s="90">
        <v>12</v>
      </c>
      <c r="D88" s="90">
        <v>12</v>
      </c>
      <c r="E88" s="90">
        <v>12</v>
      </c>
      <c r="F88" s="101">
        <v>12</v>
      </c>
      <c r="G88" s="90">
        <v>12</v>
      </c>
      <c r="H88" s="90">
        <v>12</v>
      </c>
      <c r="I88" s="90">
        <f>84-75</f>
        <v>9</v>
      </c>
      <c r="J88" s="19"/>
      <c r="K88" s="19"/>
      <c r="L88" s="19"/>
      <c r="M88" s="19"/>
    </row>
    <row r="89" spans="1:14" s="24" customFormat="1" ht="20" thickBot="1">
      <c r="A89" s="137" t="s">
        <v>107</v>
      </c>
      <c r="B89" s="135" t="s">
        <v>66</v>
      </c>
      <c r="C89" s="135" t="s">
        <v>67</v>
      </c>
      <c r="D89" s="135" t="s">
        <v>68</v>
      </c>
      <c r="E89" s="135" t="s">
        <v>173</v>
      </c>
      <c r="F89" s="135" t="s">
        <v>174</v>
      </c>
      <c r="G89" s="135" t="s">
        <v>175</v>
      </c>
      <c r="H89" s="135" t="s">
        <v>176</v>
      </c>
      <c r="I89" s="135" t="s">
        <v>177</v>
      </c>
      <c r="J89" s="135" t="s">
        <v>178</v>
      </c>
      <c r="K89" s="19"/>
      <c r="L89" s="19"/>
      <c r="M89" s="19"/>
    </row>
    <row r="90" spans="1:14" s="24" customFormat="1" ht="19">
      <c r="A90" s="120" t="s">
        <v>260</v>
      </c>
      <c r="B90" s="243">
        <f>F130/12*$B$88</f>
        <v>62.5</v>
      </c>
      <c r="C90" s="243">
        <f>F130</f>
        <v>250</v>
      </c>
      <c r="D90" s="243">
        <f t="shared" ref="D90:F90" si="44">C90</f>
        <v>250</v>
      </c>
      <c r="E90" s="243">
        <f t="shared" si="44"/>
        <v>250</v>
      </c>
      <c r="F90" s="243">
        <f t="shared" si="44"/>
        <v>250</v>
      </c>
      <c r="G90" s="243">
        <f>F90</f>
        <v>250</v>
      </c>
      <c r="H90" s="243">
        <f t="shared" ref="H90" si="45">G90</f>
        <v>250</v>
      </c>
      <c r="I90" s="243">
        <f t="shared" ref="I90:I105" si="46">H90</f>
        <v>250</v>
      </c>
      <c r="J90" s="243">
        <f t="shared" ref="J90:J105" si="47">I90</f>
        <v>250</v>
      </c>
      <c r="K90" s="213">
        <f>SUM(B90:J90)</f>
        <v>2062.5</v>
      </c>
      <c r="L90" s="214"/>
      <c r="M90" s="213"/>
      <c r="N90" s="32"/>
    </row>
    <row r="91" spans="1:14" s="24" customFormat="1" ht="19">
      <c r="A91" s="302" t="s">
        <v>323</v>
      </c>
      <c r="B91" s="243">
        <f>F131/12*$B$88</f>
        <v>137.5</v>
      </c>
      <c r="C91" s="243">
        <f>F131</f>
        <v>550</v>
      </c>
      <c r="D91" s="243">
        <f t="shared" ref="D91:F105" si="48">C91</f>
        <v>550</v>
      </c>
      <c r="E91" s="243">
        <f t="shared" si="48"/>
        <v>550</v>
      </c>
      <c r="F91" s="243">
        <f t="shared" si="48"/>
        <v>550</v>
      </c>
      <c r="G91" s="243">
        <f t="shared" ref="G91:H105" si="49">F91</f>
        <v>550</v>
      </c>
      <c r="H91" s="243">
        <f t="shared" si="49"/>
        <v>550</v>
      </c>
      <c r="I91" s="243">
        <f t="shared" si="46"/>
        <v>550</v>
      </c>
      <c r="J91" s="243">
        <f t="shared" si="47"/>
        <v>550</v>
      </c>
      <c r="K91" s="213">
        <f>SUM(B91:J91)</f>
        <v>4537.5</v>
      </c>
      <c r="L91" s="214"/>
      <c r="M91" s="213"/>
    </row>
    <row r="92" spans="1:14" s="24" customFormat="1" ht="19">
      <c r="A92" s="120" t="s">
        <v>261</v>
      </c>
      <c r="B92" s="243">
        <f>F132/12*$B$88</f>
        <v>100</v>
      </c>
      <c r="C92" s="243">
        <f>F132</f>
        <v>400</v>
      </c>
      <c r="D92" s="243">
        <f t="shared" si="48"/>
        <v>400</v>
      </c>
      <c r="E92" s="243">
        <f t="shared" si="48"/>
        <v>400</v>
      </c>
      <c r="F92" s="243">
        <f t="shared" si="48"/>
        <v>400</v>
      </c>
      <c r="G92" s="243">
        <f t="shared" si="49"/>
        <v>400</v>
      </c>
      <c r="H92" s="243">
        <f t="shared" si="49"/>
        <v>400</v>
      </c>
      <c r="I92" s="243">
        <f t="shared" si="46"/>
        <v>400</v>
      </c>
      <c r="J92" s="243">
        <f t="shared" si="47"/>
        <v>400</v>
      </c>
      <c r="K92" s="213">
        <f>SUM(B92:J92)</f>
        <v>3300</v>
      </c>
      <c r="L92" s="214"/>
      <c r="M92" s="213"/>
    </row>
    <row r="93" spans="1:14" s="24" customFormat="1" ht="19">
      <c r="A93" s="302" t="s">
        <v>262</v>
      </c>
      <c r="B93" s="243">
        <f t="shared" ref="B93:B105" si="50">F133/12*$B$88</f>
        <v>175</v>
      </c>
      <c r="C93" s="243">
        <f t="shared" ref="C93:C105" si="51">F133</f>
        <v>700</v>
      </c>
      <c r="D93" s="243">
        <f t="shared" si="48"/>
        <v>700</v>
      </c>
      <c r="E93" s="243">
        <f t="shared" si="48"/>
        <v>700</v>
      </c>
      <c r="F93" s="243">
        <f t="shared" si="48"/>
        <v>700</v>
      </c>
      <c r="G93" s="243">
        <f t="shared" si="49"/>
        <v>700</v>
      </c>
      <c r="H93" s="243">
        <f t="shared" si="49"/>
        <v>700</v>
      </c>
      <c r="I93" s="243">
        <f t="shared" si="46"/>
        <v>700</v>
      </c>
      <c r="J93" s="243">
        <f t="shared" si="47"/>
        <v>700</v>
      </c>
      <c r="K93" s="213"/>
      <c r="L93" s="214"/>
      <c r="M93" s="213"/>
    </row>
    <row r="94" spans="1:14" s="24" customFormat="1" ht="19">
      <c r="A94" s="120" t="s">
        <v>263</v>
      </c>
      <c r="B94" s="243">
        <f t="shared" si="50"/>
        <v>87.5</v>
      </c>
      <c r="C94" s="243">
        <f t="shared" si="51"/>
        <v>350</v>
      </c>
      <c r="D94" s="243">
        <f t="shared" si="48"/>
        <v>350</v>
      </c>
      <c r="E94" s="243">
        <f t="shared" si="48"/>
        <v>350</v>
      </c>
      <c r="F94" s="243">
        <f t="shared" si="48"/>
        <v>350</v>
      </c>
      <c r="G94" s="243">
        <f t="shared" si="49"/>
        <v>350</v>
      </c>
      <c r="H94" s="243">
        <f t="shared" si="49"/>
        <v>350</v>
      </c>
      <c r="I94" s="243">
        <f t="shared" si="46"/>
        <v>350</v>
      </c>
      <c r="J94" s="243">
        <f t="shared" si="47"/>
        <v>350</v>
      </c>
      <c r="K94" s="213"/>
      <c r="L94" s="214"/>
      <c r="M94" s="213"/>
    </row>
    <row r="95" spans="1:14" s="24" customFormat="1" ht="19">
      <c r="A95" s="120" t="s">
        <v>264</v>
      </c>
      <c r="B95" s="243">
        <f t="shared" si="50"/>
        <v>67.5</v>
      </c>
      <c r="C95" s="243">
        <f t="shared" si="51"/>
        <v>270</v>
      </c>
      <c r="D95" s="243">
        <f t="shared" si="48"/>
        <v>270</v>
      </c>
      <c r="E95" s="243">
        <f t="shared" si="48"/>
        <v>270</v>
      </c>
      <c r="F95" s="243">
        <f t="shared" si="48"/>
        <v>270</v>
      </c>
      <c r="G95" s="243">
        <f t="shared" si="49"/>
        <v>270</v>
      </c>
      <c r="H95" s="243">
        <f t="shared" si="49"/>
        <v>270</v>
      </c>
      <c r="I95" s="243">
        <f t="shared" si="46"/>
        <v>270</v>
      </c>
      <c r="J95" s="243">
        <f t="shared" si="47"/>
        <v>270</v>
      </c>
      <c r="K95" s="213"/>
      <c r="L95" s="214"/>
      <c r="M95" s="213"/>
    </row>
    <row r="96" spans="1:14" s="24" customFormat="1" ht="19">
      <c r="A96" s="120" t="s">
        <v>265</v>
      </c>
      <c r="B96" s="243">
        <f t="shared" si="50"/>
        <v>37.5</v>
      </c>
      <c r="C96" s="243">
        <f t="shared" si="51"/>
        <v>150</v>
      </c>
      <c r="D96" s="243">
        <f t="shared" si="48"/>
        <v>150</v>
      </c>
      <c r="E96" s="243">
        <f t="shared" si="48"/>
        <v>150</v>
      </c>
      <c r="F96" s="243">
        <f t="shared" si="48"/>
        <v>150</v>
      </c>
      <c r="G96" s="243">
        <f t="shared" si="49"/>
        <v>150</v>
      </c>
      <c r="H96" s="243">
        <f t="shared" si="49"/>
        <v>150</v>
      </c>
      <c r="I96" s="243">
        <f t="shared" si="46"/>
        <v>150</v>
      </c>
      <c r="J96" s="243">
        <f t="shared" si="47"/>
        <v>150</v>
      </c>
      <c r="K96" s="213"/>
      <c r="L96" s="214"/>
      <c r="M96" s="213"/>
    </row>
    <row r="97" spans="1:31" s="24" customFormat="1" ht="19">
      <c r="A97" s="120" t="s">
        <v>266</v>
      </c>
      <c r="B97" s="243">
        <f t="shared" si="50"/>
        <v>145</v>
      </c>
      <c r="C97" s="243">
        <f t="shared" si="51"/>
        <v>580</v>
      </c>
      <c r="D97" s="243">
        <f t="shared" si="48"/>
        <v>580</v>
      </c>
      <c r="E97" s="243">
        <f t="shared" si="48"/>
        <v>580</v>
      </c>
      <c r="F97" s="243">
        <f t="shared" si="48"/>
        <v>580</v>
      </c>
      <c r="G97" s="243">
        <f t="shared" si="49"/>
        <v>580</v>
      </c>
      <c r="H97" s="243">
        <f t="shared" si="49"/>
        <v>580</v>
      </c>
      <c r="I97" s="243">
        <f t="shared" si="46"/>
        <v>580</v>
      </c>
      <c r="J97" s="243">
        <f t="shared" si="47"/>
        <v>580</v>
      </c>
      <c r="K97" s="213"/>
      <c r="L97" s="214"/>
      <c r="M97" s="213"/>
    </row>
    <row r="98" spans="1:31" s="24" customFormat="1" ht="19">
      <c r="A98" s="120" t="s">
        <v>267</v>
      </c>
      <c r="B98" s="243">
        <f t="shared" si="50"/>
        <v>42.5</v>
      </c>
      <c r="C98" s="243">
        <f t="shared" si="51"/>
        <v>170</v>
      </c>
      <c r="D98" s="243">
        <f t="shared" si="48"/>
        <v>170</v>
      </c>
      <c r="E98" s="243">
        <f t="shared" si="48"/>
        <v>170</v>
      </c>
      <c r="F98" s="243">
        <f t="shared" si="48"/>
        <v>170</v>
      </c>
      <c r="G98" s="243">
        <f t="shared" si="49"/>
        <v>170</v>
      </c>
      <c r="H98" s="243">
        <f t="shared" si="49"/>
        <v>170</v>
      </c>
      <c r="I98" s="243">
        <f t="shared" si="46"/>
        <v>170</v>
      </c>
      <c r="J98" s="243">
        <f t="shared" si="47"/>
        <v>170</v>
      </c>
      <c r="K98" s="213"/>
      <c r="L98" s="214"/>
      <c r="M98" s="213"/>
    </row>
    <row r="99" spans="1:31" s="24" customFormat="1" ht="19">
      <c r="A99" s="120" t="s">
        <v>268</v>
      </c>
      <c r="B99" s="243">
        <f t="shared" si="50"/>
        <v>15</v>
      </c>
      <c r="C99" s="243">
        <f t="shared" si="51"/>
        <v>60</v>
      </c>
      <c r="D99" s="243">
        <f t="shared" si="48"/>
        <v>60</v>
      </c>
      <c r="E99" s="243">
        <f t="shared" si="48"/>
        <v>60</v>
      </c>
      <c r="F99" s="243">
        <f t="shared" si="48"/>
        <v>60</v>
      </c>
      <c r="G99" s="243">
        <v>45</v>
      </c>
      <c r="H99" s="243">
        <v>0</v>
      </c>
      <c r="I99" s="243">
        <v>0</v>
      </c>
      <c r="J99" s="243">
        <v>0</v>
      </c>
      <c r="K99" s="213"/>
      <c r="L99" s="214"/>
      <c r="M99" s="213"/>
    </row>
    <row r="100" spans="1:31" s="24" customFormat="1" ht="19">
      <c r="A100" s="120" t="s">
        <v>269</v>
      </c>
      <c r="B100" s="243">
        <f t="shared" si="50"/>
        <v>97.5</v>
      </c>
      <c r="C100" s="243">
        <f t="shared" si="51"/>
        <v>390</v>
      </c>
      <c r="D100" s="243">
        <f t="shared" si="48"/>
        <v>390</v>
      </c>
      <c r="E100" s="243">
        <f t="shared" si="48"/>
        <v>390</v>
      </c>
      <c r="F100" s="243">
        <f t="shared" si="48"/>
        <v>390</v>
      </c>
      <c r="G100" s="243">
        <f t="shared" si="49"/>
        <v>390</v>
      </c>
      <c r="H100" s="243">
        <f t="shared" si="49"/>
        <v>390</v>
      </c>
      <c r="I100" s="243">
        <f t="shared" si="46"/>
        <v>390</v>
      </c>
      <c r="J100" s="243">
        <f t="shared" si="47"/>
        <v>390</v>
      </c>
      <c r="K100" s="213"/>
      <c r="L100" s="214"/>
      <c r="M100" s="213"/>
    </row>
    <row r="101" spans="1:31" s="24" customFormat="1" ht="19">
      <c r="A101" s="120" t="s">
        <v>270</v>
      </c>
      <c r="B101" s="243">
        <f t="shared" si="50"/>
        <v>57.5</v>
      </c>
      <c r="C101" s="243">
        <f t="shared" si="51"/>
        <v>230</v>
      </c>
      <c r="D101" s="243">
        <f t="shared" si="48"/>
        <v>230</v>
      </c>
      <c r="E101" s="243">
        <f t="shared" si="48"/>
        <v>230</v>
      </c>
      <c r="F101" s="243">
        <f t="shared" si="48"/>
        <v>230</v>
      </c>
      <c r="G101" s="243">
        <f t="shared" si="49"/>
        <v>230</v>
      </c>
      <c r="H101" s="243">
        <f t="shared" si="49"/>
        <v>230</v>
      </c>
      <c r="I101" s="243">
        <f t="shared" si="46"/>
        <v>230</v>
      </c>
      <c r="J101" s="243">
        <f t="shared" si="47"/>
        <v>230</v>
      </c>
      <c r="K101" s="213"/>
      <c r="L101" s="214"/>
      <c r="M101" s="213"/>
    </row>
    <row r="102" spans="1:31" s="24" customFormat="1" ht="19">
      <c r="A102" s="120" t="s">
        <v>271</v>
      </c>
      <c r="B102" s="243">
        <f t="shared" si="50"/>
        <v>55</v>
      </c>
      <c r="C102" s="243">
        <f t="shared" si="51"/>
        <v>220</v>
      </c>
      <c r="D102" s="243">
        <f t="shared" si="48"/>
        <v>220</v>
      </c>
      <c r="E102" s="243">
        <f t="shared" si="48"/>
        <v>220</v>
      </c>
      <c r="F102" s="243">
        <f t="shared" si="48"/>
        <v>220</v>
      </c>
      <c r="G102" s="243">
        <f t="shared" si="49"/>
        <v>220</v>
      </c>
      <c r="H102" s="243">
        <f t="shared" si="49"/>
        <v>220</v>
      </c>
      <c r="I102" s="243">
        <f t="shared" si="46"/>
        <v>220</v>
      </c>
      <c r="J102" s="243">
        <f t="shared" si="47"/>
        <v>220</v>
      </c>
      <c r="K102" s="213"/>
      <c r="L102" s="214"/>
      <c r="M102" s="213"/>
    </row>
    <row r="103" spans="1:31" s="24" customFormat="1" ht="19">
      <c r="A103" s="120" t="s">
        <v>272</v>
      </c>
      <c r="B103" s="243">
        <f t="shared" si="50"/>
        <v>50</v>
      </c>
      <c r="C103" s="243">
        <f t="shared" si="51"/>
        <v>200</v>
      </c>
      <c r="D103" s="243">
        <f t="shared" si="48"/>
        <v>200</v>
      </c>
      <c r="E103" s="243">
        <f t="shared" si="48"/>
        <v>200</v>
      </c>
      <c r="F103" s="243">
        <f t="shared" si="48"/>
        <v>200</v>
      </c>
      <c r="G103" s="243">
        <f t="shared" si="49"/>
        <v>200</v>
      </c>
      <c r="H103" s="243">
        <f t="shared" si="49"/>
        <v>200</v>
      </c>
      <c r="I103" s="243">
        <f t="shared" si="46"/>
        <v>200</v>
      </c>
      <c r="J103" s="243">
        <f t="shared" si="47"/>
        <v>200</v>
      </c>
      <c r="K103" s="213"/>
      <c r="L103" s="214"/>
      <c r="M103" s="213"/>
    </row>
    <row r="104" spans="1:31" s="24" customFormat="1" ht="19">
      <c r="A104" s="120" t="s">
        <v>273</v>
      </c>
      <c r="B104" s="243">
        <f t="shared" si="50"/>
        <v>77.5</v>
      </c>
      <c r="C104" s="243">
        <f t="shared" si="51"/>
        <v>310</v>
      </c>
      <c r="D104" s="243">
        <f t="shared" si="48"/>
        <v>310</v>
      </c>
      <c r="E104" s="243">
        <f t="shared" si="48"/>
        <v>310</v>
      </c>
      <c r="F104" s="243">
        <f t="shared" si="48"/>
        <v>310</v>
      </c>
      <c r="G104" s="243">
        <f t="shared" si="49"/>
        <v>310</v>
      </c>
      <c r="H104" s="243">
        <f t="shared" si="49"/>
        <v>310</v>
      </c>
      <c r="I104" s="243">
        <f t="shared" si="46"/>
        <v>310</v>
      </c>
      <c r="J104" s="243">
        <f t="shared" si="47"/>
        <v>310</v>
      </c>
      <c r="K104" s="213">
        <f>SUM(B104:J104)</f>
        <v>2557.5</v>
      </c>
      <c r="L104" s="214"/>
      <c r="M104" s="213"/>
    </row>
    <row r="105" spans="1:31" s="24" customFormat="1" ht="19">
      <c r="A105" s="302" t="s">
        <v>274</v>
      </c>
      <c r="B105" s="243">
        <f t="shared" si="50"/>
        <v>75</v>
      </c>
      <c r="C105" s="243">
        <f t="shared" si="51"/>
        <v>300</v>
      </c>
      <c r="D105" s="243">
        <f t="shared" si="48"/>
        <v>300</v>
      </c>
      <c r="E105" s="243">
        <f t="shared" si="48"/>
        <v>300</v>
      </c>
      <c r="F105" s="243">
        <f t="shared" si="48"/>
        <v>300</v>
      </c>
      <c r="G105" s="243">
        <f t="shared" si="49"/>
        <v>300</v>
      </c>
      <c r="H105" s="243">
        <f t="shared" si="49"/>
        <v>300</v>
      </c>
      <c r="I105" s="243">
        <f t="shared" si="46"/>
        <v>300</v>
      </c>
      <c r="J105" s="243">
        <f t="shared" si="47"/>
        <v>300</v>
      </c>
      <c r="K105" s="213">
        <f>SUM(B105:J105)</f>
        <v>2475</v>
      </c>
      <c r="L105" s="214"/>
      <c r="M105" s="213"/>
    </row>
    <row r="106" spans="1:31" ht="19">
      <c r="A106" s="96" t="s">
        <v>155</v>
      </c>
      <c r="B106" s="243">
        <f>SUM(B90:B105)</f>
        <v>1282.5</v>
      </c>
      <c r="C106" s="243">
        <f t="shared" ref="C106:J106" si="52">SUM(C90:C105)</f>
        <v>5130</v>
      </c>
      <c r="D106" s="243">
        <f t="shared" si="52"/>
        <v>5130</v>
      </c>
      <c r="E106" s="243">
        <f t="shared" si="52"/>
        <v>5130</v>
      </c>
      <c r="F106" s="243">
        <f t="shared" si="52"/>
        <v>5130</v>
      </c>
      <c r="G106" s="243">
        <f t="shared" si="52"/>
        <v>5115</v>
      </c>
      <c r="H106" s="243">
        <f t="shared" si="52"/>
        <v>5070</v>
      </c>
      <c r="I106" s="243">
        <f t="shared" si="52"/>
        <v>5070</v>
      </c>
      <c r="J106" s="243">
        <f t="shared" si="52"/>
        <v>5070</v>
      </c>
      <c r="K106" s="213"/>
      <c r="L106" s="12" t="s">
        <v>222</v>
      </c>
      <c r="N106" s="24"/>
      <c r="O106" s="19"/>
      <c r="P106" s="19"/>
      <c r="Q106" s="19"/>
      <c r="R106" s="19"/>
      <c r="S106" s="19"/>
      <c r="T106" s="19"/>
    </row>
    <row r="107" spans="1:31" s="24" customFormat="1" ht="18">
      <c r="A107" s="96"/>
      <c r="B107" s="192"/>
      <c r="C107" s="192"/>
      <c r="D107" s="192"/>
      <c r="E107" s="192"/>
      <c r="F107" s="108"/>
      <c r="G107" s="108"/>
      <c r="H107" s="108"/>
      <c r="I107" s="108"/>
      <c r="J107" s="108"/>
      <c r="L107" s="24">
        <v>1</v>
      </c>
      <c r="M107" s="247" t="s">
        <v>203</v>
      </c>
      <c r="O107" s="19"/>
      <c r="P107" s="19"/>
      <c r="Q107" s="19"/>
      <c r="R107" s="19"/>
      <c r="S107" s="19"/>
      <c r="T107" s="19"/>
    </row>
    <row r="108" spans="1:31" s="24" customFormat="1" ht="20" thickBot="1">
      <c r="A108" s="130" t="s">
        <v>161</v>
      </c>
      <c r="B108" s="65"/>
      <c r="C108" s="65"/>
      <c r="D108" s="65"/>
      <c r="E108" s="65"/>
      <c r="F108" s="11"/>
      <c r="L108" s="24">
        <v>1</v>
      </c>
      <c r="M108" s="247" t="s">
        <v>187</v>
      </c>
      <c r="O108" s="19"/>
      <c r="P108" s="19"/>
      <c r="Q108" s="19"/>
      <c r="R108" s="19"/>
      <c r="S108" s="19"/>
      <c r="T108" s="19"/>
    </row>
    <row r="109" spans="1:31" s="24" customFormat="1" ht="19" thickBot="1">
      <c r="A109" s="138" t="s">
        <v>71</v>
      </c>
      <c r="B109" s="135" t="s">
        <v>66</v>
      </c>
      <c r="C109" s="135" t="s">
        <v>67</v>
      </c>
      <c r="D109" s="135" t="s">
        <v>68</v>
      </c>
      <c r="E109" s="135" t="s">
        <v>173</v>
      </c>
      <c r="F109" s="135" t="s">
        <v>174</v>
      </c>
      <c r="G109" s="135" t="s">
        <v>175</v>
      </c>
      <c r="H109" s="135" t="s">
        <v>176</v>
      </c>
      <c r="I109" s="135" t="s">
        <v>177</v>
      </c>
      <c r="J109" s="135" t="s">
        <v>178</v>
      </c>
      <c r="K109" s="138"/>
      <c r="L109" s="138" t="s">
        <v>66</v>
      </c>
      <c r="M109" s="138" t="s">
        <v>67</v>
      </c>
      <c r="N109" s="138" t="s">
        <v>68</v>
      </c>
      <c r="O109" s="138" t="s">
        <v>173</v>
      </c>
      <c r="P109" s="138" t="s">
        <v>174</v>
      </c>
      <c r="Q109" s="138" t="s">
        <v>175</v>
      </c>
      <c r="R109" s="138" t="s">
        <v>176</v>
      </c>
      <c r="S109" s="138" t="s">
        <v>177</v>
      </c>
      <c r="T109" s="138" t="s">
        <v>178</v>
      </c>
      <c r="V109" s="271"/>
      <c r="W109" s="271"/>
      <c r="X109" s="271"/>
      <c r="Y109" s="271"/>
      <c r="Z109" s="271"/>
      <c r="AA109" s="271"/>
      <c r="AB109" s="271"/>
      <c r="AC109" s="271"/>
      <c r="AD109" s="271"/>
      <c r="AE109" s="271"/>
    </row>
    <row r="110" spans="1:31" s="24" customFormat="1" ht="18">
      <c r="A110" s="114" t="s">
        <v>72</v>
      </c>
      <c r="B110" s="243">
        <f>L110*$L$107</f>
        <v>37921</v>
      </c>
      <c r="C110" s="243">
        <f t="shared" ref="C110:J111" si="53">M110*$L$107</f>
        <v>18599.951999999997</v>
      </c>
      <c r="D110" s="243">
        <f t="shared" si="53"/>
        <v>7363.9500800000005</v>
      </c>
      <c r="E110" s="243">
        <f t="shared" si="53"/>
        <v>7658.5080832000021</v>
      </c>
      <c r="F110" s="243">
        <f t="shared" si="53"/>
        <v>7964.8484065280018</v>
      </c>
      <c r="G110" s="243">
        <f t="shared" si="53"/>
        <v>8471.5723427891207</v>
      </c>
      <c r="H110" s="243">
        <f t="shared" si="53"/>
        <v>8614.7800365006879</v>
      </c>
      <c r="I110" s="243">
        <f t="shared" si="53"/>
        <v>8959.371237960715</v>
      </c>
      <c r="J110" s="243">
        <f t="shared" si="53"/>
        <v>9317.7460874791432</v>
      </c>
      <c r="K110" s="114"/>
      <c r="L110" s="115">
        <f t="shared" ref="L110:T110" si="54">B86</f>
        <v>37921</v>
      </c>
      <c r="M110" s="115">
        <f t="shared" si="54"/>
        <v>18599.951999999997</v>
      </c>
      <c r="N110" s="115">
        <f t="shared" si="54"/>
        <v>7363.9500800000005</v>
      </c>
      <c r="O110" s="115">
        <f t="shared" si="54"/>
        <v>7658.5080832000021</v>
      </c>
      <c r="P110" s="115">
        <f t="shared" si="54"/>
        <v>7964.8484065280018</v>
      </c>
      <c r="Q110" s="115">
        <f t="shared" si="54"/>
        <v>8471.5723427891207</v>
      </c>
      <c r="R110" s="115">
        <f t="shared" si="54"/>
        <v>8614.7800365006879</v>
      </c>
      <c r="S110" s="115">
        <f t="shared" si="54"/>
        <v>8959.371237960715</v>
      </c>
      <c r="T110" s="115">
        <f t="shared" si="54"/>
        <v>9317.7460874791432</v>
      </c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</row>
    <row r="111" spans="1:31" s="24" customFormat="1" ht="18">
      <c r="A111" s="114" t="s">
        <v>159</v>
      </c>
      <c r="B111" s="243">
        <f>L111*$L$107</f>
        <v>2562.1907999999999</v>
      </c>
      <c r="C111" s="243">
        <f t="shared" si="53"/>
        <v>3511.1135123999998</v>
      </c>
      <c r="D111" s="243">
        <f t="shared" si="53"/>
        <v>3728.8025501688003</v>
      </c>
      <c r="E111" s="243">
        <f t="shared" si="53"/>
        <v>3978.6323210301093</v>
      </c>
      <c r="F111" s="243">
        <f t="shared" si="53"/>
        <v>4245.2006865391268</v>
      </c>
      <c r="G111" s="243">
        <f t="shared" si="53"/>
        <v>4529.6291325372476</v>
      </c>
      <c r="H111" s="243">
        <f t="shared" si="53"/>
        <v>4833.1142844172427</v>
      </c>
      <c r="I111" s="243">
        <f t="shared" si="53"/>
        <v>5156.9329414731983</v>
      </c>
      <c r="J111" s="243">
        <f t="shared" si="53"/>
        <v>5502.4474485519022</v>
      </c>
      <c r="K111" s="114"/>
      <c r="L111" s="115">
        <f t="shared" ref="L111:T111" si="55">C17</f>
        <v>2562.1907999999999</v>
      </c>
      <c r="M111" s="115">
        <f t="shared" si="55"/>
        <v>3511.1135123999998</v>
      </c>
      <c r="N111" s="115">
        <f t="shared" si="55"/>
        <v>3728.8025501688003</v>
      </c>
      <c r="O111" s="115">
        <f t="shared" si="55"/>
        <v>3978.6323210301093</v>
      </c>
      <c r="P111" s="115">
        <f t="shared" si="55"/>
        <v>4245.2006865391268</v>
      </c>
      <c r="Q111" s="115">
        <f t="shared" si="55"/>
        <v>4529.6291325372476</v>
      </c>
      <c r="R111" s="115">
        <f t="shared" si="55"/>
        <v>4833.1142844172427</v>
      </c>
      <c r="S111" s="115">
        <f t="shared" si="55"/>
        <v>5156.9329414731983</v>
      </c>
      <c r="T111" s="115">
        <f t="shared" si="55"/>
        <v>5502.4474485519022</v>
      </c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</row>
    <row r="112" spans="1:31" s="24" customFormat="1" ht="18">
      <c r="A112" s="114" t="s">
        <v>19</v>
      </c>
      <c r="B112" s="243">
        <f>L112</f>
        <v>1282.5</v>
      </c>
      <c r="C112" s="243">
        <f t="shared" ref="C112:J112" si="56">M112</f>
        <v>5130</v>
      </c>
      <c r="D112" s="243">
        <f t="shared" si="56"/>
        <v>5130</v>
      </c>
      <c r="E112" s="243">
        <f t="shared" si="56"/>
        <v>5130</v>
      </c>
      <c r="F112" s="243">
        <f t="shared" si="56"/>
        <v>5130</v>
      </c>
      <c r="G112" s="243">
        <f t="shared" si="56"/>
        <v>5115</v>
      </c>
      <c r="H112" s="243">
        <f t="shared" si="56"/>
        <v>5070</v>
      </c>
      <c r="I112" s="243">
        <f t="shared" si="56"/>
        <v>5070</v>
      </c>
      <c r="J112" s="243">
        <f t="shared" si="56"/>
        <v>5070</v>
      </c>
      <c r="K112" s="114"/>
      <c r="L112" s="65">
        <f t="shared" ref="L112:T112" si="57">B106</f>
        <v>1282.5</v>
      </c>
      <c r="M112" s="160">
        <f t="shared" si="57"/>
        <v>5130</v>
      </c>
      <c r="N112" s="160">
        <f t="shared" si="57"/>
        <v>5130</v>
      </c>
      <c r="O112" s="160">
        <f t="shared" si="57"/>
        <v>5130</v>
      </c>
      <c r="P112" s="160">
        <f t="shared" si="57"/>
        <v>5130</v>
      </c>
      <c r="Q112" s="160">
        <f t="shared" si="57"/>
        <v>5115</v>
      </c>
      <c r="R112" s="160">
        <f t="shared" si="57"/>
        <v>5070</v>
      </c>
      <c r="S112" s="160">
        <f t="shared" si="57"/>
        <v>5070</v>
      </c>
      <c r="T112" s="160">
        <f t="shared" si="57"/>
        <v>5070</v>
      </c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</row>
    <row r="113" spans="1:31" s="24" customFormat="1" ht="18">
      <c r="A113" s="114" t="s">
        <v>516</v>
      </c>
      <c r="B113" s="243">
        <f t="shared" ref="B113" si="58">L113*$L$108</f>
        <v>1017.6300000000001</v>
      </c>
      <c r="C113" s="243">
        <f t="shared" ref="C113" si="59">M113*$L$108</f>
        <v>1952.21</v>
      </c>
      <c r="D113" s="243">
        <f t="shared" ref="D113" si="60">N113*$L$108</f>
        <v>1838.66</v>
      </c>
      <c r="E113" s="243">
        <f t="shared" ref="E113" si="61">O113*$L$108</f>
        <v>1721.69</v>
      </c>
      <c r="F113" s="243">
        <f t="shared" ref="F113" si="62">P113*$L$108</f>
        <v>1601.1399999999999</v>
      </c>
      <c r="G113" s="243">
        <f t="shared" ref="G113" si="63">Q113*$L$108</f>
        <v>1476.93</v>
      </c>
      <c r="H113" s="243">
        <f t="shared" ref="H113" si="64">R113*$L$108</f>
        <v>1348.9299999999998</v>
      </c>
      <c r="I113" s="243">
        <f>S113*$L$108</f>
        <v>1217.07</v>
      </c>
      <c r="J113" s="243">
        <f>T113*$L$108</f>
        <v>1081.17</v>
      </c>
      <c r="K113" s="114"/>
      <c r="L113" s="123">
        <f>'Расчет БГ'!J5</f>
        <v>1017.6300000000001</v>
      </c>
      <c r="M113" s="230">
        <f>'Расчет БГ'!K5</f>
        <v>1952.21</v>
      </c>
      <c r="N113" s="230">
        <f>'Расчет БГ'!L5</f>
        <v>1838.66</v>
      </c>
      <c r="O113" s="230">
        <f>'Расчет БГ'!M5</f>
        <v>1721.69</v>
      </c>
      <c r="P113" s="230">
        <f>'Расчет БГ'!N5</f>
        <v>1601.1399999999999</v>
      </c>
      <c r="Q113" s="230">
        <f>'Расчет БГ'!O5</f>
        <v>1476.93</v>
      </c>
      <c r="R113" s="230">
        <f>'Расчет БГ'!P5</f>
        <v>1348.9299999999998</v>
      </c>
      <c r="S113" s="230">
        <f>'Расчет БГ'!Q5</f>
        <v>1217.07</v>
      </c>
      <c r="T113" s="230">
        <f>'Расчет БГ'!R5</f>
        <v>1081.17</v>
      </c>
      <c r="U113" s="305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</row>
    <row r="114" spans="1:31" s="12" customFormat="1" ht="18">
      <c r="A114" s="162" t="s">
        <v>156</v>
      </c>
      <c r="B114" s="244">
        <f>B110+B111+B112+B113</f>
        <v>42783.320799999994</v>
      </c>
      <c r="C114" s="244">
        <f>C110+C111+C112+C113</f>
        <v>29193.275512399996</v>
      </c>
      <c r="D114" s="244">
        <f>D110+D111+D112+D113</f>
        <v>18061.412630168801</v>
      </c>
      <c r="E114" s="244">
        <f>E110+E111+E112+E113</f>
        <v>18488.83040423011</v>
      </c>
      <c r="F114" s="244">
        <f t="shared" ref="F114:I114" si="65">F110+F111+F112+F113</f>
        <v>18941.189093067129</v>
      </c>
      <c r="G114" s="244">
        <f t="shared" si="65"/>
        <v>19593.131475326369</v>
      </c>
      <c r="H114" s="244">
        <f t="shared" si="65"/>
        <v>19866.824320917931</v>
      </c>
      <c r="I114" s="244">
        <f t="shared" si="65"/>
        <v>20403.374179433915</v>
      </c>
      <c r="J114" s="244">
        <f>J110+J111+J112+J113</f>
        <v>20971.363536031044</v>
      </c>
      <c r="K114" s="162"/>
      <c r="L114" s="163">
        <f>SUM(L110:L113)</f>
        <v>42783.320799999994</v>
      </c>
      <c r="M114" s="163">
        <f t="shared" ref="M114:O114" si="66">SUM(M110:M113)</f>
        <v>29193.275512399996</v>
      </c>
      <c r="N114" s="163">
        <f t="shared" si="66"/>
        <v>18061.412630168801</v>
      </c>
      <c r="O114" s="163">
        <f t="shared" si="66"/>
        <v>18488.83040423011</v>
      </c>
      <c r="P114" s="163">
        <f t="shared" ref="P114:T114" si="67">SUM(P110:P113)</f>
        <v>18941.189093067129</v>
      </c>
      <c r="Q114" s="163">
        <f t="shared" si="67"/>
        <v>19593.131475326369</v>
      </c>
      <c r="R114" s="163">
        <f t="shared" si="67"/>
        <v>19866.824320917931</v>
      </c>
      <c r="S114" s="163">
        <f t="shared" si="67"/>
        <v>20403.374179433915</v>
      </c>
      <c r="T114" s="163">
        <f t="shared" si="67"/>
        <v>20971.363536031044</v>
      </c>
      <c r="V114" s="268"/>
      <c r="W114" s="268"/>
      <c r="X114" s="268"/>
      <c r="Y114" s="268"/>
      <c r="Z114" s="268"/>
      <c r="AA114" s="268"/>
      <c r="AB114" s="268"/>
      <c r="AC114" s="268"/>
      <c r="AD114" s="268"/>
      <c r="AE114" s="268"/>
    </row>
    <row r="115" spans="1:31" s="24" customFormat="1" ht="18">
      <c r="A115" s="114" t="s">
        <v>74</v>
      </c>
      <c r="B115" s="243">
        <f>L115*$L$108</f>
        <v>22740</v>
      </c>
      <c r="C115" s="243">
        <f t="shared" ref="B115:J116" si="68">M115*$L$108</f>
        <v>39606.6</v>
      </c>
      <c r="D115" s="243">
        <f t="shared" si="68"/>
        <v>54440.619200000001</v>
      </c>
      <c r="E115" s="243">
        <f t="shared" si="68"/>
        <v>70570.797440000009</v>
      </c>
      <c r="F115" s="243">
        <f t="shared" si="68"/>
        <v>87951.247155200006</v>
      </c>
      <c r="G115" s="243">
        <f t="shared" si="68"/>
        <v>91469.297041408019</v>
      </c>
      <c r="H115" s="243">
        <f t="shared" si="68"/>
        <v>95128.068923064333</v>
      </c>
      <c r="I115" s="243">
        <f t="shared" si="68"/>
        <v>99548.818048601315</v>
      </c>
      <c r="J115" s="243">
        <f t="shared" si="68"/>
        <v>103530.77077054536</v>
      </c>
      <c r="K115" s="114"/>
      <c r="L115" s="115">
        <f t="shared" ref="L115:T115" si="69">B50</f>
        <v>22740</v>
      </c>
      <c r="M115" s="115">
        <f t="shared" si="69"/>
        <v>39606.6</v>
      </c>
      <c r="N115" s="115">
        <f t="shared" si="69"/>
        <v>54440.619200000001</v>
      </c>
      <c r="O115" s="115">
        <f t="shared" si="69"/>
        <v>70570.797440000009</v>
      </c>
      <c r="P115" s="115">
        <f t="shared" si="69"/>
        <v>87951.247155200006</v>
      </c>
      <c r="Q115" s="115">
        <f t="shared" si="69"/>
        <v>91469.297041408019</v>
      </c>
      <c r="R115" s="115">
        <f t="shared" si="69"/>
        <v>95128.068923064333</v>
      </c>
      <c r="S115" s="115">
        <f t="shared" si="69"/>
        <v>99548.818048601315</v>
      </c>
      <c r="T115" s="115">
        <f t="shared" si="69"/>
        <v>103530.77077054536</v>
      </c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</row>
    <row r="116" spans="1:31" s="24" customFormat="1" ht="18">
      <c r="A116" s="114" t="s">
        <v>160</v>
      </c>
      <c r="B116" s="243">
        <f t="shared" si="68"/>
        <v>955.8</v>
      </c>
      <c r="C116" s="243">
        <f t="shared" si="68"/>
        <v>12077.488799999999</v>
      </c>
      <c r="D116" s="243">
        <f t="shared" si="68"/>
        <v>12826.2931056</v>
      </c>
      <c r="E116" s="243">
        <f t="shared" si="68"/>
        <v>13685.654743675197</v>
      </c>
      <c r="F116" s="243">
        <f t="shared" si="68"/>
        <v>14602.593611501436</v>
      </c>
      <c r="G116" s="243">
        <f t="shared" si="68"/>
        <v>15580.967383472032</v>
      </c>
      <c r="H116" s="243">
        <f t="shared" si="68"/>
        <v>16624.89219816466</v>
      </c>
      <c r="I116" s="243">
        <f t="shared" si="68"/>
        <v>17738.759975441691</v>
      </c>
      <c r="J116" s="243">
        <f t="shared" si="68"/>
        <v>18927.256893796282</v>
      </c>
      <c r="K116" s="114"/>
      <c r="L116" s="115">
        <f t="shared" ref="L116:T116" si="70">C19</f>
        <v>955.8</v>
      </c>
      <c r="M116" s="115">
        <f t="shared" si="70"/>
        <v>12077.488799999999</v>
      </c>
      <c r="N116" s="115">
        <f t="shared" si="70"/>
        <v>12826.2931056</v>
      </c>
      <c r="O116" s="115">
        <f t="shared" si="70"/>
        <v>13685.654743675197</v>
      </c>
      <c r="P116" s="115">
        <f t="shared" si="70"/>
        <v>14602.593611501436</v>
      </c>
      <c r="Q116" s="115">
        <f t="shared" si="70"/>
        <v>15580.967383472032</v>
      </c>
      <c r="R116" s="115">
        <f t="shared" si="70"/>
        <v>16624.89219816466</v>
      </c>
      <c r="S116" s="115">
        <f t="shared" si="70"/>
        <v>17738.759975441691</v>
      </c>
      <c r="T116" s="115">
        <f t="shared" si="70"/>
        <v>18927.256893796282</v>
      </c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</row>
    <row r="117" spans="1:31" s="12" customFormat="1" ht="18">
      <c r="A117" s="162" t="s">
        <v>157</v>
      </c>
      <c r="B117" s="244">
        <f>B114+B115+B116</f>
        <v>66479.12079999999</v>
      </c>
      <c r="C117" s="244">
        <f>C114+C115+C116</f>
        <v>80877.364312399994</v>
      </c>
      <c r="D117" s="244">
        <f>D114+D115+D116</f>
        <v>85328.324935768789</v>
      </c>
      <c r="E117" s="244">
        <f t="shared" ref="E117:J117" si="71">E114+E115+E116</f>
        <v>102745.28258790533</v>
      </c>
      <c r="F117" s="244">
        <f t="shared" si="71"/>
        <v>121495.02985976856</v>
      </c>
      <c r="G117" s="244">
        <f t="shared" si="71"/>
        <v>126643.39590020642</v>
      </c>
      <c r="H117" s="244">
        <f t="shared" si="71"/>
        <v>131619.78544214694</v>
      </c>
      <c r="I117" s="244">
        <f t="shared" si="71"/>
        <v>137690.95220347692</v>
      </c>
      <c r="J117" s="244">
        <f t="shared" si="71"/>
        <v>143429.39120037269</v>
      </c>
      <c r="K117" s="162"/>
      <c r="L117" s="163">
        <f>L114+L115+L116</f>
        <v>66479.12079999999</v>
      </c>
      <c r="M117" s="163">
        <f t="shared" ref="M117:N117" si="72">M114+M115+M116</f>
        <v>80877.364312399994</v>
      </c>
      <c r="N117" s="163">
        <f t="shared" si="72"/>
        <v>85328.324935768789</v>
      </c>
      <c r="O117" s="163">
        <f>O114+O115+O116</f>
        <v>102745.28258790533</v>
      </c>
      <c r="P117" s="163">
        <f>P114+P115+P116</f>
        <v>121495.02985976856</v>
      </c>
      <c r="Q117" s="163">
        <f t="shared" ref="Q117:T117" si="73">Q114+Q115+Q116</f>
        <v>126643.39590020642</v>
      </c>
      <c r="R117" s="163">
        <f t="shared" si="73"/>
        <v>131619.78544214694</v>
      </c>
      <c r="S117" s="163">
        <f t="shared" si="73"/>
        <v>137690.95220347692</v>
      </c>
      <c r="T117" s="163">
        <f t="shared" si="73"/>
        <v>143429.39120037269</v>
      </c>
      <c r="V117" s="268"/>
      <c r="W117" s="268"/>
      <c r="X117" s="268"/>
      <c r="Y117" s="268"/>
      <c r="Z117" s="268"/>
      <c r="AA117" s="268"/>
      <c r="AB117" s="268"/>
      <c r="AC117" s="268"/>
      <c r="AD117" s="268"/>
      <c r="AE117" s="268"/>
    </row>
    <row r="118" spans="1:31" s="24" customFormat="1" ht="18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123"/>
      <c r="M118" s="123"/>
      <c r="N118" s="123"/>
      <c r="O118" s="123"/>
      <c r="P118" s="159"/>
      <c r="Q118" s="159"/>
      <c r="R118" s="159"/>
      <c r="S118" s="159"/>
      <c r="T118" s="159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</row>
    <row r="119" spans="1:31" s="12" customFormat="1" ht="18">
      <c r="A119" s="164" t="s">
        <v>125</v>
      </c>
      <c r="B119" s="194">
        <f>B114</f>
        <v>42783.320799999994</v>
      </c>
      <c r="C119" s="194">
        <f t="shared" ref="C119:J119" si="74">C114</f>
        <v>29193.275512399996</v>
      </c>
      <c r="D119" s="194">
        <f t="shared" si="74"/>
        <v>18061.412630168801</v>
      </c>
      <c r="E119" s="194">
        <f t="shared" si="74"/>
        <v>18488.83040423011</v>
      </c>
      <c r="F119" s="194">
        <f t="shared" si="74"/>
        <v>18941.189093067129</v>
      </c>
      <c r="G119" s="194">
        <f t="shared" si="74"/>
        <v>19593.131475326369</v>
      </c>
      <c r="H119" s="194">
        <f t="shared" si="74"/>
        <v>19866.824320917931</v>
      </c>
      <c r="I119" s="194">
        <f t="shared" si="74"/>
        <v>20403.374179433915</v>
      </c>
      <c r="J119" s="194">
        <f t="shared" si="74"/>
        <v>20971.363536031044</v>
      </c>
      <c r="K119" s="164"/>
      <c r="L119" s="165">
        <f>L110+L111+L112+L113</f>
        <v>42783.320799999994</v>
      </c>
      <c r="M119" s="165">
        <f t="shared" ref="M119:T119" si="75">M110+M111+M112+M113</f>
        <v>29193.275512399996</v>
      </c>
      <c r="N119" s="165">
        <f t="shared" si="75"/>
        <v>18061.412630168801</v>
      </c>
      <c r="O119" s="165">
        <f t="shared" si="75"/>
        <v>18488.83040423011</v>
      </c>
      <c r="P119" s="165">
        <f t="shared" si="75"/>
        <v>18941.189093067129</v>
      </c>
      <c r="Q119" s="165">
        <f t="shared" si="75"/>
        <v>19593.131475326369</v>
      </c>
      <c r="R119" s="165">
        <f t="shared" si="75"/>
        <v>19866.824320917931</v>
      </c>
      <c r="S119" s="165">
        <f t="shared" si="75"/>
        <v>20403.374179433915</v>
      </c>
      <c r="T119" s="165">
        <f t="shared" si="75"/>
        <v>20971.363536031044</v>
      </c>
      <c r="U119" s="166"/>
      <c r="V119" s="268"/>
      <c r="W119" s="268"/>
      <c r="X119" s="268"/>
      <c r="Y119" s="268"/>
      <c r="Z119" s="268"/>
      <c r="AA119" s="268"/>
      <c r="AB119" s="268"/>
      <c r="AC119" s="268"/>
      <c r="AD119" s="268"/>
      <c r="AE119" s="268"/>
    </row>
    <row r="120" spans="1:31" s="12" customFormat="1" ht="18">
      <c r="A120" s="164" t="s">
        <v>126</v>
      </c>
      <c r="B120" s="194">
        <f>B115+B116</f>
        <v>23695.8</v>
      </c>
      <c r="C120" s="194">
        <f t="shared" ref="C120:J120" si="76">C115+C116</f>
        <v>51684.088799999998</v>
      </c>
      <c r="D120" s="194">
        <f t="shared" si="76"/>
        <v>67266.912305599995</v>
      </c>
      <c r="E120" s="194">
        <f t="shared" si="76"/>
        <v>84256.45218367521</v>
      </c>
      <c r="F120" s="194">
        <f t="shared" si="76"/>
        <v>102553.84076670144</v>
      </c>
      <c r="G120" s="194">
        <f t="shared" si="76"/>
        <v>107050.26442488005</v>
      </c>
      <c r="H120" s="194">
        <f t="shared" si="76"/>
        <v>111752.96112122899</v>
      </c>
      <c r="I120" s="194">
        <f t="shared" si="76"/>
        <v>117287.578024043</v>
      </c>
      <c r="J120" s="194">
        <f t="shared" si="76"/>
        <v>122458.02766434164</v>
      </c>
      <c r="K120" s="164"/>
      <c r="L120" s="165">
        <f>L115+L116</f>
        <v>23695.8</v>
      </c>
      <c r="M120" s="165">
        <f>M115+M116</f>
        <v>51684.088799999998</v>
      </c>
      <c r="N120" s="165">
        <f>N115+N116</f>
        <v>67266.912305599995</v>
      </c>
      <c r="O120" s="165">
        <f>O115+O116</f>
        <v>84256.45218367521</v>
      </c>
      <c r="P120" s="165">
        <f t="shared" ref="P120:T120" si="77">P115+P116</f>
        <v>102553.84076670144</v>
      </c>
      <c r="Q120" s="165">
        <f t="shared" si="77"/>
        <v>107050.26442488005</v>
      </c>
      <c r="R120" s="165">
        <f t="shared" si="77"/>
        <v>111752.96112122899</v>
      </c>
      <c r="S120" s="165">
        <f t="shared" si="77"/>
        <v>117287.578024043</v>
      </c>
      <c r="T120" s="165">
        <f t="shared" si="77"/>
        <v>122458.02766434164</v>
      </c>
      <c r="U120" s="166"/>
      <c r="V120" s="268"/>
      <c r="W120" s="268"/>
      <c r="X120" s="268"/>
      <c r="Y120" s="268"/>
      <c r="Z120" s="268"/>
      <c r="AA120" s="268"/>
      <c r="AB120" s="268"/>
      <c r="AC120" s="268"/>
      <c r="AD120" s="268"/>
      <c r="AE120" s="268"/>
    </row>
    <row r="121" spans="1:31" s="12" customFormat="1" ht="18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7"/>
      <c r="M121" s="167"/>
      <c r="N121" s="167"/>
      <c r="O121" s="167"/>
      <c r="P121" s="167"/>
      <c r="Q121" s="167"/>
      <c r="R121" s="167"/>
      <c r="S121" s="167"/>
      <c r="T121" s="167"/>
      <c r="U121" s="166"/>
      <c r="V121" s="269"/>
      <c r="W121" s="269"/>
      <c r="X121" s="269"/>
      <c r="Y121" s="269"/>
      <c r="Z121" s="269"/>
      <c r="AA121" s="269"/>
      <c r="AB121" s="269"/>
      <c r="AC121" s="269"/>
      <c r="AD121" s="269"/>
      <c r="AE121" s="269"/>
    </row>
    <row r="122" spans="1:31" s="12" customFormat="1" ht="18">
      <c r="A122" s="164" t="s">
        <v>127</v>
      </c>
      <c r="B122" s="195">
        <f>B110+B111</f>
        <v>40483.190799999997</v>
      </c>
      <c r="C122" s="195">
        <f t="shared" ref="C122:J122" si="78">C110+C111</f>
        <v>22111.065512399997</v>
      </c>
      <c r="D122" s="195">
        <f t="shared" si="78"/>
        <v>11092.752630168801</v>
      </c>
      <c r="E122" s="195">
        <f t="shared" si="78"/>
        <v>11637.140404230111</v>
      </c>
      <c r="F122" s="195">
        <f t="shared" si="78"/>
        <v>12210.049093067129</v>
      </c>
      <c r="G122" s="195">
        <f t="shared" si="78"/>
        <v>13001.201475326368</v>
      </c>
      <c r="H122" s="195">
        <f t="shared" si="78"/>
        <v>13447.894320917931</v>
      </c>
      <c r="I122" s="195">
        <f t="shared" si="78"/>
        <v>14116.304179433913</v>
      </c>
      <c r="J122" s="195">
        <f t="shared" si="78"/>
        <v>14820.193536031045</v>
      </c>
      <c r="K122" s="164"/>
      <c r="L122" s="168">
        <f>L110+L111</f>
        <v>40483.190799999997</v>
      </c>
      <c r="M122" s="168">
        <f t="shared" ref="M122:O122" si="79">M110+M111</f>
        <v>22111.065512399997</v>
      </c>
      <c r="N122" s="168">
        <f t="shared" si="79"/>
        <v>11092.752630168801</v>
      </c>
      <c r="O122" s="168">
        <f t="shared" si="79"/>
        <v>11637.140404230111</v>
      </c>
      <c r="P122" s="168">
        <f t="shared" ref="P122:T122" si="80">P110+P111</f>
        <v>12210.049093067129</v>
      </c>
      <c r="Q122" s="168">
        <f t="shared" si="80"/>
        <v>13001.201475326368</v>
      </c>
      <c r="R122" s="168">
        <f t="shared" si="80"/>
        <v>13447.894320917931</v>
      </c>
      <c r="S122" s="168">
        <f t="shared" si="80"/>
        <v>14116.304179433913</v>
      </c>
      <c r="T122" s="168">
        <f t="shared" si="80"/>
        <v>14820.193536031045</v>
      </c>
      <c r="U122" s="166"/>
      <c r="V122" s="270"/>
      <c r="W122" s="270"/>
      <c r="X122" s="270"/>
      <c r="Y122" s="270"/>
      <c r="Z122" s="270"/>
      <c r="AA122" s="270"/>
      <c r="AB122" s="270"/>
      <c r="AC122" s="270"/>
      <c r="AD122" s="270"/>
      <c r="AE122" s="270"/>
    </row>
    <row r="123" spans="1:31" s="12" customFormat="1" ht="18">
      <c r="A123" s="164" t="s">
        <v>128</v>
      </c>
      <c r="B123" s="195">
        <f>B112+B115+B116</f>
        <v>24978.3</v>
      </c>
      <c r="C123" s="195">
        <f t="shared" ref="C123:J123" si="81">C112+C115+C116</f>
        <v>56814.088799999998</v>
      </c>
      <c r="D123" s="195">
        <f t="shared" si="81"/>
        <v>72396.912305599995</v>
      </c>
      <c r="E123" s="195">
        <f t="shared" si="81"/>
        <v>89386.45218367521</v>
      </c>
      <c r="F123" s="195">
        <f>F112+F115+F116</f>
        <v>107683.84076670144</v>
      </c>
      <c r="G123" s="195">
        <f t="shared" si="81"/>
        <v>112165.26442488005</v>
      </c>
      <c r="H123" s="195">
        <f t="shared" si="81"/>
        <v>116822.96112122899</v>
      </c>
      <c r="I123" s="195">
        <f t="shared" si="81"/>
        <v>122357.578024043</v>
      </c>
      <c r="J123" s="195">
        <f t="shared" si="81"/>
        <v>127528.02766434164</v>
      </c>
      <c r="K123" s="164"/>
      <c r="L123" s="163">
        <f>L112+L115+L116</f>
        <v>24978.3</v>
      </c>
      <c r="M123" s="163">
        <f t="shared" ref="M123:O123" si="82">M112+M115+M116</f>
        <v>56814.088799999998</v>
      </c>
      <c r="N123" s="163">
        <f t="shared" si="82"/>
        <v>72396.912305599995</v>
      </c>
      <c r="O123" s="163">
        <f t="shared" si="82"/>
        <v>89386.45218367521</v>
      </c>
      <c r="P123" s="163">
        <f t="shared" ref="P123:T123" si="83">P112+P115+P116</f>
        <v>107683.84076670144</v>
      </c>
      <c r="Q123" s="163">
        <f t="shared" si="83"/>
        <v>112165.26442488005</v>
      </c>
      <c r="R123" s="163">
        <f t="shared" si="83"/>
        <v>116822.96112122899</v>
      </c>
      <c r="S123" s="163">
        <f t="shared" si="83"/>
        <v>122357.578024043</v>
      </c>
      <c r="T123" s="163">
        <f t="shared" si="83"/>
        <v>127528.02766434164</v>
      </c>
      <c r="U123" s="169"/>
      <c r="V123" s="268"/>
      <c r="W123" s="268"/>
      <c r="X123" s="268"/>
      <c r="Y123" s="268"/>
      <c r="Z123" s="268"/>
      <c r="AA123" s="268"/>
      <c r="AB123" s="268"/>
      <c r="AC123" s="268"/>
      <c r="AD123" s="268"/>
      <c r="AE123" s="268"/>
    </row>
    <row r="124" spans="1:31" ht="19" thickBot="1">
      <c r="A124" s="116"/>
      <c r="B124" s="111"/>
      <c r="C124" s="101"/>
      <c r="D124" s="101"/>
      <c r="E124" s="101"/>
      <c r="F124" s="101"/>
      <c r="G124" s="110"/>
      <c r="H124" s="110"/>
      <c r="I124" s="111"/>
      <c r="J124" s="111"/>
      <c r="K124" s="112"/>
      <c r="L124" s="112"/>
      <c r="M124" s="112"/>
      <c r="N124" s="112"/>
      <c r="O124" s="19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</row>
    <row r="125" spans="1:31" ht="16">
      <c r="B125" s="110"/>
      <c r="C125" s="110"/>
      <c r="D125" s="110"/>
      <c r="E125" s="110"/>
      <c r="F125" s="110"/>
      <c r="G125" s="113"/>
      <c r="H125" s="113"/>
      <c r="I125" s="110"/>
      <c r="J125" s="110"/>
      <c r="K125" s="110"/>
      <c r="L125" s="110"/>
      <c r="M125" s="110"/>
      <c r="N125" s="110"/>
    </row>
    <row r="127" spans="1:31" ht="16">
      <c r="A127" s="400" t="s">
        <v>23</v>
      </c>
      <c r="B127" s="400"/>
      <c r="C127" s="30"/>
      <c r="D127" s="30"/>
      <c r="E127" s="11"/>
      <c r="F127" s="30"/>
    </row>
    <row r="128" spans="1:31" ht="16">
      <c r="A128" s="29" t="s">
        <v>60</v>
      </c>
      <c r="B128" s="52"/>
      <c r="C128" s="30"/>
      <c r="D128" s="30"/>
      <c r="E128" s="52"/>
      <c r="F128" s="30"/>
    </row>
    <row r="129" spans="1:10" ht="68">
      <c r="A129" s="124" t="s">
        <v>23</v>
      </c>
      <c r="B129" s="124" t="s">
        <v>61</v>
      </c>
      <c r="C129" s="124" t="s">
        <v>158</v>
      </c>
      <c r="D129" s="124" t="s">
        <v>62</v>
      </c>
      <c r="E129" s="124" t="s">
        <v>43</v>
      </c>
      <c r="F129" s="124" t="s">
        <v>166</v>
      </c>
      <c r="G129" s="131"/>
      <c r="J129"/>
    </row>
    <row r="130" spans="1:10" ht="19">
      <c r="A130" s="120" t="s">
        <v>260</v>
      </c>
      <c r="B130" s="125">
        <v>1</v>
      </c>
      <c r="C130" s="60">
        <v>2500</v>
      </c>
      <c r="D130" s="125"/>
      <c r="E130" s="125">
        <v>120</v>
      </c>
      <c r="F130" s="139">
        <f>C130/E130*12</f>
        <v>250</v>
      </c>
      <c r="G130" s="11"/>
      <c r="J130"/>
    </row>
    <row r="131" spans="1:10" ht="19">
      <c r="A131" s="302" t="s">
        <v>323</v>
      </c>
      <c r="B131" s="125">
        <v>1</v>
      </c>
      <c r="C131" s="60">
        <v>5500</v>
      </c>
      <c r="D131" s="125"/>
      <c r="E131" s="125">
        <v>120</v>
      </c>
      <c r="F131" s="139">
        <f t="shared" ref="F131:F145" si="84">C131/E131*12</f>
        <v>550</v>
      </c>
      <c r="G131" s="11"/>
      <c r="J131"/>
    </row>
    <row r="132" spans="1:10" ht="19">
      <c r="A132" s="120" t="s">
        <v>261</v>
      </c>
      <c r="B132" s="125">
        <v>1</v>
      </c>
      <c r="C132" s="60">
        <v>4000</v>
      </c>
      <c r="D132" s="125"/>
      <c r="E132" s="125">
        <v>120</v>
      </c>
      <c r="F132" s="139">
        <f>C132/E132*12</f>
        <v>400</v>
      </c>
      <c r="G132" s="11"/>
      <c r="H132" s="24">
        <f>84/12</f>
        <v>7</v>
      </c>
      <c r="J132"/>
    </row>
    <row r="133" spans="1:10" ht="19">
      <c r="A133" s="302" t="s">
        <v>262</v>
      </c>
      <c r="B133" s="125">
        <v>1</v>
      </c>
      <c r="C133" s="60">
        <v>7000</v>
      </c>
      <c r="D133" s="125"/>
      <c r="E133" s="125">
        <v>120</v>
      </c>
      <c r="F133" s="139">
        <f t="shared" si="84"/>
        <v>700</v>
      </c>
      <c r="G133" s="11"/>
      <c r="J133"/>
    </row>
    <row r="134" spans="1:10" s="24" customFormat="1" ht="19">
      <c r="A134" s="120" t="s">
        <v>263</v>
      </c>
      <c r="B134" s="127">
        <v>1</v>
      </c>
      <c r="C134" s="60">
        <v>3500</v>
      </c>
      <c r="D134" s="125"/>
      <c r="E134" s="125">
        <v>120</v>
      </c>
      <c r="F134" s="139">
        <f t="shared" si="84"/>
        <v>350</v>
      </c>
      <c r="G134" s="11"/>
    </row>
    <row r="135" spans="1:10" s="24" customFormat="1" ht="19">
      <c r="A135" s="120" t="s">
        <v>264</v>
      </c>
      <c r="B135" s="127">
        <v>1</v>
      </c>
      <c r="C135" s="60">
        <v>2700</v>
      </c>
      <c r="D135" s="125"/>
      <c r="E135" s="125">
        <v>120</v>
      </c>
      <c r="F135" s="139">
        <f t="shared" si="84"/>
        <v>270</v>
      </c>
      <c r="G135" s="11"/>
    </row>
    <row r="136" spans="1:10" s="24" customFormat="1" ht="19">
      <c r="A136" s="120" t="s">
        <v>265</v>
      </c>
      <c r="B136" s="127">
        <v>1</v>
      </c>
      <c r="C136" s="60">
        <v>1500</v>
      </c>
      <c r="D136" s="125"/>
      <c r="E136" s="125">
        <v>120</v>
      </c>
      <c r="F136" s="139">
        <f t="shared" si="84"/>
        <v>150</v>
      </c>
      <c r="G136" s="11"/>
    </row>
    <row r="137" spans="1:10" s="24" customFormat="1" ht="19">
      <c r="A137" s="120" t="s">
        <v>266</v>
      </c>
      <c r="B137" s="127">
        <v>1</v>
      </c>
      <c r="C137" s="60">
        <v>5800</v>
      </c>
      <c r="D137" s="125"/>
      <c r="E137" s="125">
        <v>120</v>
      </c>
      <c r="F137" s="139">
        <f t="shared" si="84"/>
        <v>580</v>
      </c>
      <c r="G137" s="11"/>
    </row>
    <row r="138" spans="1:10" s="24" customFormat="1" ht="19">
      <c r="A138" s="120" t="s">
        <v>267</v>
      </c>
      <c r="B138" s="127">
        <v>1</v>
      </c>
      <c r="C138" s="60">
        <v>1700</v>
      </c>
      <c r="D138" s="125"/>
      <c r="E138" s="125">
        <v>120</v>
      </c>
      <c r="F138" s="139">
        <f t="shared" si="84"/>
        <v>170</v>
      </c>
      <c r="G138" s="11"/>
    </row>
    <row r="139" spans="1:10" s="24" customFormat="1" ht="19">
      <c r="A139" s="120" t="s">
        <v>268</v>
      </c>
      <c r="B139" s="127">
        <v>1</v>
      </c>
      <c r="C139" s="60">
        <v>300</v>
      </c>
      <c r="D139" s="125"/>
      <c r="E139" s="125">
        <v>60</v>
      </c>
      <c r="F139" s="139">
        <f t="shared" si="84"/>
        <v>60</v>
      </c>
      <c r="G139" s="11"/>
    </row>
    <row r="140" spans="1:10" s="24" customFormat="1" ht="19">
      <c r="A140" s="120" t="s">
        <v>269</v>
      </c>
      <c r="B140" s="127">
        <v>1</v>
      </c>
      <c r="C140" s="60">
        <v>3900</v>
      </c>
      <c r="D140" s="125"/>
      <c r="E140" s="125">
        <v>120</v>
      </c>
      <c r="F140" s="139">
        <f t="shared" si="84"/>
        <v>390</v>
      </c>
      <c r="G140" s="11"/>
    </row>
    <row r="141" spans="1:10" s="24" customFormat="1" ht="19">
      <c r="A141" s="120" t="s">
        <v>270</v>
      </c>
      <c r="B141" s="127">
        <v>1</v>
      </c>
      <c r="C141" s="60">
        <v>2300</v>
      </c>
      <c r="D141" s="125"/>
      <c r="E141" s="125">
        <v>120</v>
      </c>
      <c r="F141" s="139">
        <f t="shared" si="84"/>
        <v>230</v>
      </c>
      <c r="G141" s="11"/>
    </row>
    <row r="142" spans="1:10" s="24" customFormat="1" ht="19">
      <c r="A142" s="120" t="s">
        <v>271</v>
      </c>
      <c r="B142" s="127">
        <v>1</v>
      </c>
      <c r="C142" s="60">
        <v>2200</v>
      </c>
      <c r="D142" s="125"/>
      <c r="E142" s="125">
        <v>120</v>
      </c>
      <c r="F142" s="139">
        <f t="shared" si="84"/>
        <v>220</v>
      </c>
      <c r="G142" s="11"/>
    </row>
    <row r="143" spans="1:10" s="24" customFormat="1" ht="19">
      <c r="A143" s="120" t="s">
        <v>272</v>
      </c>
      <c r="B143" s="127">
        <v>1</v>
      </c>
      <c r="C143" s="60">
        <v>2000</v>
      </c>
      <c r="D143" s="125"/>
      <c r="E143" s="125">
        <v>120</v>
      </c>
      <c r="F143" s="139">
        <f t="shared" si="84"/>
        <v>200</v>
      </c>
      <c r="G143" s="11"/>
    </row>
    <row r="144" spans="1:10" s="24" customFormat="1" ht="19">
      <c r="A144" s="120" t="s">
        <v>273</v>
      </c>
      <c r="B144" s="127">
        <v>1</v>
      </c>
      <c r="C144" s="60">
        <v>3100</v>
      </c>
      <c r="D144" s="125"/>
      <c r="E144" s="125">
        <v>120</v>
      </c>
      <c r="F144" s="139">
        <f t="shared" si="84"/>
        <v>310</v>
      </c>
      <c r="G144" s="11"/>
    </row>
    <row r="145" spans="1:12" s="24" customFormat="1" ht="19">
      <c r="A145" s="302" t="s">
        <v>274</v>
      </c>
      <c r="B145" s="127">
        <v>1</v>
      </c>
      <c r="C145" s="60">
        <v>3000</v>
      </c>
      <c r="D145" s="125"/>
      <c r="E145" s="125">
        <v>120</v>
      </c>
      <c r="F145" s="139">
        <f t="shared" si="84"/>
        <v>300</v>
      </c>
      <c r="G145" s="11"/>
    </row>
    <row r="146" spans="1:12" ht="17">
      <c r="A146" s="126" t="s">
        <v>44</v>
      </c>
      <c r="B146" s="127">
        <f>SUM(B130:B145)</f>
        <v>16</v>
      </c>
      <c r="C146" s="263">
        <f>SUM(C130:C145)</f>
        <v>51000</v>
      </c>
      <c r="D146" s="128"/>
      <c r="E146" s="129"/>
      <c r="F146" s="303">
        <f>SUM(F130:F145)</f>
        <v>5130</v>
      </c>
      <c r="G146" s="11"/>
      <c r="J146"/>
    </row>
    <row r="147" spans="1:12" s="24" customFormat="1" ht="16">
      <c r="A147" s="102"/>
      <c r="B147" s="103"/>
      <c r="C147" s="262"/>
      <c r="D147" s="105"/>
      <c r="E147" s="106"/>
      <c r="F147" s="107">
        <f>F146/12*3</f>
        <v>1282.5</v>
      </c>
      <c r="G147" s="107"/>
      <c r="H147" s="107"/>
    </row>
    <row r="148" spans="1:12" s="24" customFormat="1" ht="17" thickBot="1">
      <c r="A148" s="102"/>
      <c r="B148" s="103"/>
      <c r="C148" s="104"/>
      <c r="D148" s="105"/>
      <c r="E148" s="106"/>
      <c r="F148" s="107"/>
      <c r="G148" s="107"/>
      <c r="H148" s="107"/>
    </row>
    <row r="149" spans="1:12" s="157" customFormat="1" ht="19" thickBot="1">
      <c r="A149" s="124" t="s">
        <v>107</v>
      </c>
      <c r="B149" s="124"/>
      <c r="C149" s="135" t="s">
        <v>66</v>
      </c>
      <c r="D149" s="135" t="s">
        <v>67</v>
      </c>
      <c r="E149" s="135" t="s">
        <v>68</v>
      </c>
      <c r="F149" s="135" t="s">
        <v>173</v>
      </c>
      <c r="G149" s="135" t="s">
        <v>174</v>
      </c>
      <c r="H149" s="135" t="s">
        <v>175</v>
      </c>
      <c r="I149" s="135" t="s">
        <v>176</v>
      </c>
      <c r="J149" s="135" t="s">
        <v>177</v>
      </c>
      <c r="K149" s="135" t="s">
        <v>178</v>
      </c>
    </row>
    <row r="150" spans="1:12" s="157" customFormat="1" ht="16">
      <c r="A150" s="124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</row>
    <row r="151" spans="1:12" s="157" customFormat="1" ht="19">
      <c r="A151" s="274" t="s">
        <v>164</v>
      </c>
      <c r="B151" s="274"/>
      <c r="C151" s="275">
        <v>0</v>
      </c>
      <c r="D151" s="275">
        <v>0</v>
      </c>
      <c r="E151" s="275">
        <v>0</v>
      </c>
      <c r="F151" s="275">
        <v>0</v>
      </c>
      <c r="G151" s="275">
        <v>0</v>
      </c>
      <c r="H151" s="275">
        <v>0</v>
      </c>
      <c r="I151" s="275">
        <v>0</v>
      </c>
      <c r="J151" s="275">
        <v>0</v>
      </c>
      <c r="K151" s="275">
        <v>1</v>
      </c>
    </row>
    <row r="152" spans="1:12" s="157" customFormat="1" ht="19">
      <c r="A152" s="274" t="s">
        <v>108</v>
      </c>
      <c r="B152" s="274"/>
      <c r="C152" s="276">
        <f>C146-L112</f>
        <v>49717.5</v>
      </c>
      <c r="D152" s="276">
        <f t="shared" ref="D152:J152" si="85">C152-C112</f>
        <v>44587.5</v>
      </c>
      <c r="E152" s="276">
        <f t="shared" si="85"/>
        <v>39457.5</v>
      </c>
      <c r="F152" s="276">
        <f t="shared" si="85"/>
        <v>34327.5</v>
      </c>
      <c r="G152" s="276">
        <f t="shared" si="85"/>
        <v>29197.5</v>
      </c>
      <c r="H152" s="276">
        <f t="shared" si="85"/>
        <v>24082.5</v>
      </c>
      <c r="I152" s="276">
        <f t="shared" si="85"/>
        <v>19012.5</v>
      </c>
      <c r="J152" s="276">
        <f t="shared" si="85"/>
        <v>13942.5</v>
      </c>
      <c r="K152" s="276">
        <f t="shared" ref="K152" si="86">J152-J112</f>
        <v>8872.5</v>
      </c>
    </row>
    <row r="153" spans="1:12" s="157" customFormat="1" ht="19">
      <c r="A153" s="274" t="s">
        <v>44</v>
      </c>
      <c r="B153" s="274"/>
      <c r="C153" s="276">
        <f>C151+C152</f>
        <v>49717.5</v>
      </c>
      <c r="D153" s="276">
        <f>D151+D152</f>
        <v>44587.5</v>
      </c>
      <c r="E153" s="276">
        <f>E151+E152</f>
        <v>39457.5</v>
      </c>
      <c r="F153" s="276">
        <f t="shared" ref="F153" si="87">F151+F152</f>
        <v>34327.5</v>
      </c>
      <c r="G153" s="276">
        <f t="shared" ref="G153:J153" si="88">G151+G152</f>
        <v>29197.5</v>
      </c>
      <c r="H153" s="276">
        <f t="shared" si="88"/>
        <v>24082.5</v>
      </c>
      <c r="I153" s="276">
        <f t="shared" si="88"/>
        <v>19012.5</v>
      </c>
      <c r="J153" s="276">
        <f t="shared" si="88"/>
        <v>13942.5</v>
      </c>
      <c r="K153" s="276">
        <f t="shared" ref="K153" si="89">K151+K152</f>
        <v>8873.5</v>
      </c>
    </row>
    <row r="154" spans="1:12" ht="17">
      <c r="A154" s="277" t="s">
        <v>109</v>
      </c>
      <c r="B154" s="277">
        <v>0</v>
      </c>
      <c r="C154" s="278">
        <f>C153</f>
        <v>49717.5</v>
      </c>
      <c r="D154" s="278">
        <f t="shared" ref="D154:E154" si="90">D153</f>
        <v>44587.5</v>
      </c>
      <c r="E154" s="278">
        <f t="shared" si="90"/>
        <v>39457.5</v>
      </c>
      <c r="F154" s="278">
        <f>F153</f>
        <v>34327.5</v>
      </c>
      <c r="G154" s="278">
        <f t="shared" ref="G154:J154" si="91">G153</f>
        <v>29197.5</v>
      </c>
      <c r="H154" s="278">
        <f t="shared" si="91"/>
        <v>24082.5</v>
      </c>
      <c r="I154" s="278">
        <f t="shared" si="91"/>
        <v>19012.5</v>
      </c>
      <c r="J154" s="278">
        <f t="shared" si="91"/>
        <v>13942.5</v>
      </c>
      <c r="K154" s="278">
        <f t="shared" ref="K154" si="92">K153</f>
        <v>8873.5</v>
      </c>
    </row>
    <row r="156" spans="1:12" ht="18">
      <c r="B156" s="273"/>
      <c r="C156" s="273"/>
      <c r="D156" s="273"/>
      <c r="E156" s="273"/>
      <c r="F156" s="273"/>
      <c r="G156" s="273"/>
      <c r="H156" s="273"/>
      <c r="I156" s="273"/>
      <c r="J156" s="273"/>
      <c r="K156" s="273"/>
      <c r="L156" s="11"/>
    </row>
    <row r="157" spans="1:12" ht="17">
      <c r="A157" s="124" t="s">
        <v>95</v>
      </c>
      <c r="B157" s="124"/>
      <c r="C157" s="32"/>
      <c r="D157" s="32"/>
      <c r="E157" s="32"/>
      <c r="F157" s="32"/>
      <c r="G157" s="32"/>
      <c r="H157" s="32"/>
      <c r="I157" s="32"/>
      <c r="J157" s="32"/>
      <c r="K157" s="32"/>
    </row>
    <row r="158" spans="1:12">
      <c r="A158" s="61" t="s">
        <v>213</v>
      </c>
      <c r="B158" s="61">
        <v>68600</v>
      </c>
    </row>
    <row r="159" spans="1:12">
      <c r="A159" s="61" t="s">
        <v>214</v>
      </c>
      <c r="B159" s="61">
        <v>29400</v>
      </c>
    </row>
    <row r="160" spans="1:12" ht="18">
      <c r="A160" s="61" t="s">
        <v>44</v>
      </c>
      <c r="B160" s="61">
        <f>SUM(B158:B159)</f>
        <v>98000</v>
      </c>
      <c r="C160" s="218"/>
      <c r="D160" s="11"/>
      <c r="E160" s="218"/>
      <c r="F160" s="11"/>
      <c r="G160" s="219"/>
      <c r="H160" s="11"/>
    </row>
    <row r="161" spans="3:10" ht="18">
      <c r="C161" s="218"/>
      <c r="D161" s="11"/>
      <c r="E161" s="218"/>
      <c r="F161" s="11"/>
      <c r="G161" s="218"/>
      <c r="H161" s="11"/>
    </row>
    <row r="162" spans="3:10" ht="18">
      <c r="C162" s="218"/>
      <c r="D162" s="11"/>
      <c r="E162" s="219"/>
      <c r="F162" s="11"/>
      <c r="G162" s="11"/>
      <c r="H162" s="11"/>
    </row>
    <row r="163" spans="3:10" ht="18">
      <c r="C163" s="218"/>
      <c r="D163" s="11"/>
      <c r="E163" s="219"/>
      <c r="F163" s="11"/>
      <c r="G163" s="11"/>
      <c r="H163" s="11"/>
    </row>
    <row r="164" spans="3:10" ht="18">
      <c r="C164" s="218"/>
      <c r="D164" s="11"/>
      <c r="E164" s="218"/>
      <c r="F164" s="11"/>
      <c r="G164" s="11"/>
      <c r="H164" s="11"/>
    </row>
    <row r="165" spans="3:10" ht="18">
      <c r="C165" s="218"/>
      <c r="D165" s="11"/>
      <c r="E165" s="218"/>
      <c r="F165" s="11"/>
      <c r="G165" s="11"/>
      <c r="H165" s="11"/>
    </row>
    <row r="166" spans="3:10" ht="18">
      <c r="C166" s="218"/>
      <c r="D166" s="11"/>
      <c r="E166" s="219"/>
      <c r="F166" s="11"/>
      <c r="G166" s="11"/>
      <c r="H166" s="11"/>
    </row>
    <row r="167" spans="3:10" ht="18">
      <c r="C167" s="218"/>
      <c r="D167" s="11"/>
      <c r="E167" s="219"/>
      <c r="F167" s="11"/>
      <c r="G167" s="11"/>
      <c r="H167" s="11"/>
    </row>
    <row r="168" spans="3:10" ht="18">
      <c r="C168" s="218"/>
      <c r="D168" s="11"/>
      <c r="E168" s="219"/>
      <c r="F168" s="11"/>
      <c r="G168" s="11"/>
      <c r="H168" s="11"/>
    </row>
    <row r="169" spans="3:10" ht="18">
      <c r="C169" s="218"/>
      <c r="D169" s="11"/>
      <c r="E169" s="219"/>
      <c r="F169" s="11"/>
      <c r="G169" s="11"/>
      <c r="H169" s="11"/>
    </row>
    <row r="170" spans="3:10" ht="18">
      <c r="C170" s="218"/>
      <c r="D170" s="11"/>
      <c r="E170" s="219"/>
      <c r="F170" s="11"/>
      <c r="G170" s="11"/>
      <c r="H170" s="11"/>
    </row>
    <row r="171" spans="3:10" ht="18">
      <c r="C171" s="218"/>
      <c r="D171" s="11"/>
      <c r="E171" s="219"/>
      <c r="F171" s="11"/>
      <c r="G171" s="11"/>
      <c r="H171" s="11"/>
    </row>
    <row r="172" spans="3:10" ht="18">
      <c r="C172" s="218"/>
      <c r="D172" s="11"/>
      <c r="E172" s="219"/>
      <c r="F172" s="11"/>
      <c r="G172" s="11"/>
      <c r="H172" s="11"/>
    </row>
    <row r="173" spans="3:10" ht="18">
      <c r="C173" s="218"/>
      <c r="D173" s="11"/>
      <c r="E173" s="219"/>
      <c r="F173" s="11"/>
      <c r="G173" s="11"/>
      <c r="H173" s="11"/>
    </row>
    <row r="174" spans="3:10" ht="18">
      <c r="C174" s="218"/>
      <c r="D174" s="11"/>
      <c r="E174" s="219"/>
      <c r="F174" s="11"/>
      <c r="G174" s="11"/>
      <c r="H174" s="11"/>
      <c r="J174"/>
    </row>
    <row r="175" spans="3:10" ht="18">
      <c r="C175" s="218"/>
      <c r="D175" s="11"/>
      <c r="E175" s="219"/>
      <c r="F175" s="11"/>
      <c r="G175" s="11"/>
      <c r="H175" s="11"/>
      <c r="J175"/>
    </row>
    <row r="176" spans="3:10" ht="18">
      <c r="C176" s="218"/>
      <c r="D176" s="11"/>
      <c r="E176" s="219"/>
      <c r="F176" s="11"/>
      <c r="G176" s="11"/>
      <c r="H176" s="11"/>
      <c r="J176"/>
    </row>
    <row r="177" spans="3:10" ht="18">
      <c r="C177" s="218"/>
      <c r="D177" s="11"/>
      <c r="E177" s="219"/>
      <c r="F177" s="11"/>
      <c r="G177" s="11"/>
      <c r="H177" s="11"/>
      <c r="J177"/>
    </row>
    <row r="178" spans="3:10" ht="18">
      <c r="C178" s="218"/>
      <c r="D178" s="11"/>
      <c r="E178" s="218"/>
      <c r="F178" s="11"/>
      <c r="G178" s="11"/>
      <c r="H178" s="11"/>
      <c r="J178"/>
    </row>
    <row r="179" spans="3:10" ht="18">
      <c r="C179" s="219"/>
      <c r="D179" s="11"/>
      <c r="E179" s="218"/>
      <c r="F179" s="11"/>
      <c r="G179" s="11"/>
      <c r="H179" s="11"/>
      <c r="J179"/>
    </row>
    <row r="180" spans="3:10" ht="18">
      <c r="C180" s="218"/>
      <c r="D180" s="11"/>
      <c r="E180" s="218"/>
      <c r="F180" s="11"/>
      <c r="G180" s="11"/>
      <c r="H180" s="11"/>
      <c r="J180"/>
    </row>
    <row r="181" spans="3:10" ht="18">
      <c r="C181" s="219"/>
      <c r="D181" s="11"/>
      <c r="E181" s="218"/>
      <c r="F181" s="11"/>
      <c r="G181" s="11"/>
      <c r="H181" s="11"/>
      <c r="J181"/>
    </row>
    <row r="182" spans="3:10" ht="18">
      <c r="C182" s="219"/>
      <c r="D182" s="11"/>
      <c r="E182" s="11"/>
      <c r="F182" s="11"/>
      <c r="G182" s="11"/>
      <c r="H182" s="11"/>
      <c r="J182"/>
    </row>
    <row r="183" spans="3:10" ht="18">
      <c r="C183" s="218"/>
      <c r="D183" s="11"/>
      <c r="E183" s="11"/>
      <c r="F183" s="11"/>
      <c r="G183" s="11"/>
      <c r="H183" s="11"/>
      <c r="J183"/>
    </row>
    <row r="184" spans="3:10" ht="18">
      <c r="C184" s="218"/>
      <c r="D184" s="11"/>
      <c r="E184" s="11"/>
      <c r="F184" s="11"/>
      <c r="G184" s="11"/>
      <c r="H184" s="11"/>
      <c r="J184"/>
    </row>
    <row r="185" spans="3:10" ht="18">
      <c r="C185" s="218"/>
      <c r="D185" s="11"/>
      <c r="E185" s="11"/>
      <c r="F185" s="11"/>
      <c r="G185" s="11"/>
      <c r="H185" s="11"/>
      <c r="J185"/>
    </row>
    <row r="186" spans="3:10" ht="18">
      <c r="C186" s="218"/>
      <c r="D186" s="11"/>
      <c r="E186" s="11"/>
      <c r="F186" s="11"/>
      <c r="G186" s="11"/>
      <c r="H186" s="11"/>
      <c r="J186"/>
    </row>
    <row r="187" spans="3:10" ht="18">
      <c r="C187" s="218"/>
      <c r="D187" s="11"/>
      <c r="E187" s="11"/>
      <c r="F187" s="11"/>
      <c r="G187" s="11"/>
      <c r="H187" s="11"/>
      <c r="J187"/>
    </row>
    <row r="188" spans="3:10" ht="18">
      <c r="C188" s="218"/>
      <c r="D188" s="11"/>
      <c r="E188" s="11"/>
      <c r="F188" s="11"/>
      <c r="G188" s="11"/>
      <c r="H188" s="11"/>
      <c r="J188"/>
    </row>
    <row r="189" spans="3:10" ht="18">
      <c r="C189" s="218"/>
      <c r="D189" s="11"/>
      <c r="E189" s="11"/>
      <c r="F189" s="11"/>
      <c r="G189" s="11"/>
      <c r="H189" s="11"/>
      <c r="J189"/>
    </row>
    <row r="190" spans="3:10" ht="18">
      <c r="C190" s="218"/>
      <c r="D190" s="11"/>
      <c r="E190" s="11"/>
      <c r="F190" s="11"/>
      <c r="G190" s="11"/>
      <c r="H190" s="11"/>
      <c r="J190"/>
    </row>
    <row r="191" spans="3:10" ht="18">
      <c r="C191" s="218"/>
      <c r="D191" s="11"/>
      <c r="E191" s="11"/>
      <c r="F191" s="11"/>
      <c r="G191" s="11"/>
      <c r="H191" s="11"/>
      <c r="J191"/>
    </row>
    <row r="192" spans="3:10" ht="18">
      <c r="C192" s="218"/>
      <c r="D192" s="11"/>
      <c r="E192" s="11"/>
      <c r="F192" s="11"/>
      <c r="G192" s="11"/>
      <c r="H192" s="11"/>
      <c r="J192"/>
    </row>
    <row r="193" spans="3:10" ht="18">
      <c r="C193" s="218"/>
      <c r="D193" s="11"/>
      <c r="E193" s="11"/>
      <c r="F193" s="11"/>
      <c r="G193" s="11"/>
      <c r="H193" s="11"/>
      <c r="J193"/>
    </row>
    <row r="194" spans="3:10" ht="18">
      <c r="C194" s="218"/>
      <c r="D194" s="11"/>
      <c r="E194" s="11"/>
      <c r="F194" s="11"/>
      <c r="G194" s="11"/>
      <c r="H194" s="11"/>
      <c r="J194"/>
    </row>
    <row r="195" spans="3:10" ht="18">
      <c r="C195" s="218"/>
      <c r="D195" s="11"/>
      <c r="E195" s="11"/>
      <c r="F195" s="11"/>
      <c r="G195" s="11"/>
      <c r="H195" s="11"/>
      <c r="J195"/>
    </row>
    <row r="196" spans="3:10" ht="18">
      <c r="C196" s="218"/>
      <c r="D196" s="11"/>
      <c r="E196" s="11"/>
      <c r="F196" s="11"/>
      <c r="G196" s="11"/>
      <c r="H196" s="11"/>
      <c r="J196"/>
    </row>
    <row r="197" spans="3:10" ht="18">
      <c r="C197" s="218"/>
      <c r="D197" s="11"/>
      <c r="E197" s="11"/>
      <c r="F197" s="11"/>
      <c r="G197" s="11"/>
      <c r="H197" s="11"/>
      <c r="J197"/>
    </row>
    <row r="198" spans="3:10" ht="18">
      <c r="C198" s="218"/>
      <c r="D198" s="11"/>
      <c r="E198" s="11"/>
      <c r="F198" s="11"/>
      <c r="G198" s="11"/>
      <c r="H198" s="11"/>
      <c r="J198"/>
    </row>
    <row r="199" spans="3:10" ht="18">
      <c r="C199" s="219"/>
      <c r="D199" s="11"/>
      <c r="E199" s="11"/>
      <c r="F199" s="11"/>
      <c r="G199" s="11"/>
      <c r="H199" s="11"/>
      <c r="J199"/>
    </row>
    <row r="200" spans="3:10" ht="18">
      <c r="C200" s="218"/>
      <c r="D200" s="11"/>
      <c r="E200" s="11"/>
      <c r="F200" s="11"/>
      <c r="G200" s="11"/>
      <c r="H200" s="11"/>
      <c r="J200"/>
    </row>
    <row r="201" spans="3:10" ht="18">
      <c r="C201" s="218"/>
      <c r="D201" s="11"/>
      <c r="E201" s="11"/>
      <c r="F201" s="11"/>
      <c r="G201" s="11"/>
      <c r="H201" s="11"/>
      <c r="J201"/>
    </row>
    <row r="202" spans="3:10" ht="18">
      <c r="C202" s="218"/>
      <c r="D202" s="11"/>
      <c r="E202" s="11"/>
      <c r="F202" s="11"/>
      <c r="G202" s="11"/>
      <c r="H202" s="11"/>
      <c r="J202"/>
    </row>
    <row r="203" spans="3:10" ht="18">
      <c r="C203" s="218"/>
      <c r="D203" s="11"/>
      <c r="E203" s="11"/>
      <c r="F203" s="11"/>
      <c r="G203" s="11"/>
      <c r="H203" s="11"/>
      <c r="J203"/>
    </row>
    <row r="204" spans="3:10" ht="18">
      <c r="C204" s="218"/>
      <c r="D204" s="11"/>
      <c r="E204" s="11"/>
      <c r="F204" s="11"/>
      <c r="G204" s="11"/>
      <c r="H204" s="11"/>
      <c r="J204"/>
    </row>
    <row r="205" spans="3:10" ht="18">
      <c r="C205" s="219"/>
      <c r="D205" s="11"/>
      <c r="E205" s="11"/>
      <c r="F205" s="11"/>
      <c r="G205" s="11"/>
      <c r="H205" s="11"/>
      <c r="J205"/>
    </row>
    <row r="206" spans="3:10" ht="18">
      <c r="C206" s="218"/>
      <c r="D206" s="11"/>
      <c r="E206" s="11"/>
      <c r="F206" s="11"/>
      <c r="G206" s="11"/>
      <c r="H206" s="11"/>
      <c r="J206"/>
    </row>
    <row r="207" spans="3:10" ht="18">
      <c r="C207" s="218"/>
      <c r="D207" s="11"/>
      <c r="E207" s="11"/>
      <c r="F207" s="11"/>
      <c r="G207" s="11"/>
      <c r="H207" s="11"/>
      <c r="J207"/>
    </row>
    <row r="208" spans="3:10" ht="18">
      <c r="C208" s="218"/>
      <c r="D208" s="11"/>
      <c r="E208" s="11"/>
      <c r="F208" s="11"/>
      <c r="G208" s="11"/>
      <c r="H208" s="11"/>
      <c r="J208"/>
    </row>
    <row r="209" spans="3:10" ht="18">
      <c r="C209" s="218"/>
      <c r="D209" s="11"/>
      <c r="E209" s="11"/>
      <c r="F209" s="11"/>
      <c r="G209" s="11"/>
      <c r="H209" s="11"/>
      <c r="J209"/>
    </row>
    <row r="210" spans="3:10" ht="18">
      <c r="C210" s="218"/>
      <c r="D210" s="11"/>
      <c r="E210" s="11"/>
      <c r="F210" s="11"/>
      <c r="G210" s="11"/>
      <c r="H210" s="11"/>
      <c r="J210"/>
    </row>
    <row r="211" spans="3:10" ht="18">
      <c r="C211" s="219"/>
      <c r="D211" s="11"/>
      <c r="E211" s="11"/>
      <c r="F211" s="11"/>
      <c r="G211" s="11"/>
      <c r="H211" s="11"/>
      <c r="J211"/>
    </row>
    <row r="212" spans="3:10" ht="18">
      <c r="C212" s="218"/>
      <c r="D212" s="11"/>
      <c r="E212" s="11"/>
      <c r="F212" s="11"/>
      <c r="G212" s="11"/>
      <c r="H212" s="11"/>
      <c r="J212"/>
    </row>
    <row r="213" spans="3:10" ht="18">
      <c r="C213" s="218"/>
      <c r="D213" s="11"/>
      <c r="E213" s="11"/>
      <c r="F213" s="11"/>
      <c r="G213" s="11"/>
      <c r="H213" s="11"/>
      <c r="J213"/>
    </row>
    <row r="214" spans="3:10" ht="18">
      <c r="C214" s="218"/>
      <c r="D214" s="11"/>
      <c r="E214" s="11"/>
      <c r="F214" s="11"/>
      <c r="G214" s="11"/>
      <c r="H214" s="11"/>
      <c r="J214"/>
    </row>
    <row r="215" spans="3:10" ht="18">
      <c r="C215" s="218"/>
      <c r="D215" s="11"/>
      <c r="E215" s="11"/>
      <c r="F215" s="11"/>
      <c r="G215" s="11"/>
      <c r="H215" s="11"/>
      <c r="J215"/>
    </row>
    <row r="216" spans="3:10" ht="18">
      <c r="C216" s="218"/>
      <c r="D216" s="11"/>
      <c r="E216" s="11"/>
      <c r="F216" s="11"/>
      <c r="G216" s="11"/>
      <c r="H216" s="11"/>
      <c r="J216"/>
    </row>
    <row r="217" spans="3:10" ht="18">
      <c r="C217" s="218"/>
      <c r="D217" s="11"/>
      <c r="E217" s="11"/>
      <c r="F217" s="11"/>
      <c r="G217" s="11"/>
      <c r="H217" s="11"/>
      <c r="J217"/>
    </row>
    <row r="218" spans="3:10" ht="18">
      <c r="C218" s="218"/>
      <c r="D218" s="11"/>
      <c r="E218" s="11"/>
      <c r="F218" s="11"/>
      <c r="G218" s="11"/>
      <c r="H218" s="11"/>
      <c r="J218"/>
    </row>
    <row r="219" spans="3:10" ht="18">
      <c r="C219" s="218"/>
      <c r="D219" s="11"/>
      <c r="E219" s="11"/>
      <c r="F219" s="11"/>
      <c r="G219" s="11"/>
      <c r="H219" s="11"/>
      <c r="J219"/>
    </row>
    <row r="220" spans="3:10">
      <c r="C220" s="11"/>
      <c r="D220" s="11"/>
      <c r="E220" s="11"/>
      <c r="F220" s="11"/>
      <c r="G220" s="11"/>
      <c r="H220" s="11"/>
      <c r="J220"/>
    </row>
    <row r="221" spans="3:10">
      <c r="C221" s="11"/>
      <c r="D221" s="11"/>
      <c r="E221" s="11"/>
      <c r="F221" s="11"/>
      <c r="G221" s="11"/>
      <c r="H221" s="11"/>
      <c r="J221"/>
    </row>
    <row r="222" spans="3:10">
      <c r="C222" s="11"/>
      <c r="D222" s="11"/>
      <c r="E222" s="11"/>
      <c r="F222" s="11"/>
      <c r="G222" s="11"/>
      <c r="H222" s="11"/>
      <c r="J222"/>
    </row>
    <row r="223" spans="3:10">
      <c r="C223" s="11"/>
      <c r="D223" s="11"/>
      <c r="E223" s="11"/>
      <c r="F223" s="11"/>
      <c r="G223" s="11"/>
      <c r="H223" s="11"/>
      <c r="J223"/>
    </row>
    <row r="224" spans="3:10">
      <c r="C224" s="11"/>
      <c r="D224" s="11"/>
      <c r="E224" s="11"/>
      <c r="F224" s="11"/>
      <c r="G224" s="11"/>
      <c r="H224" s="11"/>
      <c r="J224"/>
    </row>
    <row r="225" spans="3:10">
      <c r="C225" s="11"/>
      <c r="D225" s="11"/>
      <c r="E225" s="11"/>
      <c r="F225" s="11"/>
      <c r="G225" s="11"/>
      <c r="H225" s="11"/>
      <c r="J225"/>
    </row>
    <row r="226" spans="3:10">
      <c r="C226" s="11"/>
      <c r="D226" s="11"/>
      <c r="E226" s="11"/>
      <c r="F226" s="11"/>
      <c r="G226" s="11"/>
      <c r="H226" s="11"/>
      <c r="J226"/>
    </row>
    <row r="227" spans="3:10">
      <c r="C227" s="11"/>
      <c r="D227" s="11"/>
      <c r="E227" s="11"/>
      <c r="F227" s="11"/>
      <c r="G227" s="11"/>
      <c r="H227" s="11"/>
      <c r="J227"/>
    </row>
  </sheetData>
  <mergeCells count="3">
    <mergeCell ref="A53:A54"/>
    <mergeCell ref="A73:E73"/>
    <mergeCell ref="A127:B127"/>
  </mergeCells>
  <phoneticPr fontId="41" type="noConversion"/>
  <pageMargins left="0.7" right="0.7" top="0.75" bottom="0.75" header="0.3" footer="0.3"/>
  <pageSetup paperSize="9"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84"/>
  <sheetViews>
    <sheetView topLeftCell="E1" workbookViewId="0">
      <selection activeCell="O4" sqref="O4:R4"/>
    </sheetView>
  </sheetViews>
  <sheetFormatPr baseColWidth="10" defaultColWidth="11.5" defaultRowHeight="16"/>
  <cols>
    <col min="1" max="1" width="11.5" style="19"/>
    <col min="2" max="2" width="22.83203125" style="366" customWidth="1"/>
    <col min="3" max="3" width="24.1640625" style="366" customWidth="1"/>
    <col min="4" max="4" width="12" style="366" bestFit="1" customWidth="1"/>
    <col min="5" max="5" width="15.83203125" style="366" customWidth="1"/>
    <col min="6" max="6" width="20.33203125" style="366" customWidth="1"/>
    <col min="7" max="16384" width="11.5" style="19"/>
  </cols>
  <sheetData>
    <row r="1" spans="1:18">
      <c r="B1" s="366" t="s">
        <v>206</v>
      </c>
      <c r="C1" s="366" t="s">
        <v>207</v>
      </c>
      <c r="D1" s="366" t="s">
        <v>208</v>
      </c>
      <c r="E1" s="366" t="s">
        <v>209</v>
      </c>
    </row>
    <row r="2" spans="1:18">
      <c r="A2" s="362" t="s">
        <v>201</v>
      </c>
      <c r="B2" s="367">
        <f>-Исходные!B158</f>
        <v>-68600</v>
      </c>
      <c r="C2" s="367">
        <v>0</v>
      </c>
      <c r="D2" s="367">
        <v>0</v>
      </c>
      <c r="E2" s="367">
        <v>68600</v>
      </c>
      <c r="F2" s="367"/>
      <c r="G2" s="362"/>
    </row>
    <row r="3" spans="1:18">
      <c r="A3" s="362" t="s">
        <v>205</v>
      </c>
      <c r="B3" s="367">
        <v>-68600</v>
      </c>
      <c r="C3" s="367">
        <v>0</v>
      </c>
      <c r="D3" s="367">
        <v>0</v>
      </c>
      <c r="E3" s="367">
        <v>68600</v>
      </c>
      <c r="F3" s="367"/>
      <c r="G3" s="362">
        <f>SUM(D4:D10)</f>
        <v>1017.6300000000001</v>
      </c>
      <c r="H3" s="19">
        <f>SUM(C4:C10)</f>
        <v>2842.4399999999996</v>
      </c>
      <c r="J3" s="19">
        <v>2021</v>
      </c>
      <c r="K3" s="19">
        <v>2022</v>
      </c>
      <c r="L3" s="19">
        <v>2023</v>
      </c>
      <c r="M3" s="19">
        <v>2024</v>
      </c>
      <c r="N3" s="19">
        <v>2025</v>
      </c>
      <c r="O3" s="19">
        <v>2026</v>
      </c>
      <c r="P3" s="19">
        <v>2027</v>
      </c>
      <c r="Q3" s="19">
        <v>2028</v>
      </c>
      <c r="R3" s="19">
        <v>2029</v>
      </c>
    </row>
    <row r="4" spans="1:18">
      <c r="A4" s="362">
        <v>1</v>
      </c>
      <c r="B4" s="368" t="s">
        <v>324</v>
      </c>
      <c r="C4" s="364">
        <v>0</v>
      </c>
      <c r="D4" s="364">
        <v>0</v>
      </c>
      <c r="E4" s="364">
        <v>0</v>
      </c>
      <c r="F4" s="365">
        <v>68600</v>
      </c>
      <c r="G4" s="362"/>
      <c r="H4" s="362" t="s">
        <v>210</v>
      </c>
      <c r="J4" s="369">
        <f>H3</f>
        <v>2842.4399999999996</v>
      </c>
      <c r="K4" s="369">
        <f>H15</f>
        <v>5684.8799999999983</v>
      </c>
      <c r="L4" s="369">
        <f>H27</f>
        <v>5684.8799999999983</v>
      </c>
      <c r="M4" s="369">
        <f>H39</f>
        <v>5684.8799999999983</v>
      </c>
      <c r="N4" s="369">
        <f>H51</f>
        <v>5684.8799999999983</v>
      </c>
      <c r="O4" s="369">
        <v>5684.8799999999983</v>
      </c>
      <c r="P4" s="369">
        <v>5684.8799999999983</v>
      </c>
      <c r="Q4" s="369">
        <v>5684.8799999999983</v>
      </c>
      <c r="R4" s="369">
        <v>5684.8799999999983</v>
      </c>
    </row>
    <row r="5" spans="1:18">
      <c r="A5" s="362">
        <v>2</v>
      </c>
      <c r="B5" s="363" t="s">
        <v>325</v>
      </c>
      <c r="C5" s="364">
        <v>473.74</v>
      </c>
      <c r="D5" s="364">
        <v>171.5</v>
      </c>
      <c r="E5" s="364">
        <v>302.24</v>
      </c>
      <c r="F5" s="365">
        <v>68297.759999999995</v>
      </c>
      <c r="G5" s="362"/>
      <c r="H5" s="362" t="s">
        <v>208</v>
      </c>
      <c r="J5" s="19">
        <f>G3</f>
        <v>1017.6300000000001</v>
      </c>
      <c r="K5" s="19">
        <f>G15</f>
        <v>1952.21</v>
      </c>
      <c r="L5" s="19">
        <f>G27</f>
        <v>1838.66</v>
      </c>
      <c r="M5" s="19">
        <f>G39</f>
        <v>1721.69</v>
      </c>
      <c r="N5" s="19">
        <f>G51</f>
        <v>1601.1399999999999</v>
      </c>
      <c r="O5" s="19">
        <f>G63</f>
        <v>1476.93</v>
      </c>
      <c r="P5" s="19">
        <f>G75</f>
        <v>1348.9299999999998</v>
      </c>
      <c r="Q5" s="19">
        <f>G87</f>
        <v>1217.07</v>
      </c>
      <c r="R5" s="19">
        <f>G99</f>
        <v>1081.17</v>
      </c>
    </row>
    <row r="6" spans="1:18">
      <c r="A6" s="362">
        <v>3</v>
      </c>
      <c r="B6" s="363" t="s">
        <v>326</v>
      </c>
      <c r="C6" s="364">
        <v>473.74</v>
      </c>
      <c r="D6" s="364">
        <v>170.74</v>
      </c>
      <c r="E6" s="364">
        <v>303</v>
      </c>
      <c r="F6" s="365">
        <v>67994.759999999995</v>
      </c>
      <c r="G6" s="362"/>
      <c r="H6" s="362"/>
    </row>
    <row r="7" spans="1:18">
      <c r="A7" s="362">
        <v>4</v>
      </c>
      <c r="B7" s="363" t="s">
        <v>327</v>
      </c>
      <c r="C7" s="364">
        <v>473.74</v>
      </c>
      <c r="D7" s="364">
        <v>169.99</v>
      </c>
      <c r="E7" s="364">
        <v>303.75</v>
      </c>
      <c r="F7" s="365">
        <v>67691.009999999995</v>
      </c>
      <c r="G7" s="362"/>
      <c r="H7" s="362" t="s">
        <v>215</v>
      </c>
      <c r="J7" s="369">
        <f>Исходные!$B$159/9</f>
        <v>3266.6666666666665</v>
      </c>
      <c r="K7" s="369">
        <f>Исходные!$B$159/9</f>
        <v>3266.6666666666665</v>
      </c>
      <c r="L7" s="369">
        <f>Исходные!$B$159/9</f>
        <v>3266.6666666666665</v>
      </c>
      <c r="M7" s="369">
        <f>Исходные!$B$159/9</f>
        <v>3266.6666666666665</v>
      </c>
      <c r="N7" s="369">
        <f>Исходные!$B$159/9</f>
        <v>3266.6666666666665</v>
      </c>
      <c r="O7" s="369">
        <f>Исходные!$B$159/9</f>
        <v>3266.6666666666665</v>
      </c>
      <c r="P7" s="369">
        <f>Исходные!$B$159/9</f>
        <v>3266.6666666666665</v>
      </c>
      <c r="Q7" s="369">
        <f>Исходные!$B$159/9</f>
        <v>3266.6666666666665</v>
      </c>
      <c r="R7" s="369">
        <f>Исходные!$B$159/9</f>
        <v>3266.6666666666665</v>
      </c>
    </row>
    <row r="8" spans="1:18">
      <c r="A8" s="362">
        <v>5</v>
      </c>
      <c r="B8" s="363" t="s">
        <v>328</v>
      </c>
      <c r="C8" s="364">
        <v>473.74</v>
      </c>
      <c r="D8" s="364">
        <v>169.23</v>
      </c>
      <c r="E8" s="364">
        <v>304.51</v>
      </c>
      <c r="F8" s="365">
        <v>67386.5</v>
      </c>
      <c r="G8" s="362"/>
      <c r="H8" s="362"/>
    </row>
    <row r="9" spans="1:18">
      <c r="A9" s="362">
        <v>6</v>
      </c>
      <c r="B9" s="363" t="s">
        <v>329</v>
      </c>
      <c r="C9" s="364">
        <v>473.74</v>
      </c>
      <c r="D9" s="364">
        <v>168.47</v>
      </c>
      <c r="E9" s="364">
        <v>305.27</v>
      </c>
      <c r="F9" s="365">
        <v>67081.23</v>
      </c>
      <c r="G9" s="362"/>
      <c r="H9" s="362"/>
    </row>
    <row r="10" spans="1:18">
      <c r="A10" s="362">
        <v>7</v>
      </c>
      <c r="B10" s="363" t="s">
        <v>330</v>
      </c>
      <c r="C10" s="364">
        <v>473.74</v>
      </c>
      <c r="D10" s="364">
        <v>167.7</v>
      </c>
      <c r="E10" s="364">
        <v>306.04000000000002</v>
      </c>
      <c r="F10" s="365">
        <v>66775.19</v>
      </c>
      <c r="G10" s="362"/>
      <c r="H10" s="362"/>
    </row>
    <row r="11" spans="1:18">
      <c r="A11" s="362">
        <v>8</v>
      </c>
      <c r="B11" s="363" t="s">
        <v>331</v>
      </c>
      <c r="C11" s="364">
        <v>473.74</v>
      </c>
      <c r="D11" s="364">
        <v>166.94</v>
      </c>
      <c r="E11" s="364">
        <v>306.8</v>
      </c>
      <c r="F11" s="365">
        <v>66468.39</v>
      </c>
      <c r="G11" s="362"/>
      <c r="H11" s="362"/>
    </row>
    <row r="12" spans="1:18">
      <c r="A12" s="362">
        <v>9</v>
      </c>
      <c r="B12" s="363" t="s">
        <v>332</v>
      </c>
      <c r="C12" s="364">
        <v>473.74</v>
      </c>
      <c r="D12" s="364">
        <v>166.17</v>
      </c>
      <c r="E12" s="364">
        <v>307.57</v>
      </c>
      <c r="F12" s="365">
        <v>66160.820000000007</v>
      </c>
      <c r="G12" s="362"/>
      <c r="H12" s="362"/>
    </row>
    <row r="13" spans="1:18">
      <c r="A13" s="362">
        <v>10</v>
      </c>
      <c r="B13" s="363" t="s">
        <v>333</v>
      </c>
      <c r="C13" s="364">
        <v>473.74</v>
      </c>
      <c r="D13" s="364">
        <v>165.4</v>
      </c>
      <c r="E13" s="364">
        <v>308.33999999999997</v>
      </c>
      <c r="F13" s="365">
        <v>65852.479999999996</v>
      </c>
      <c r="G13" s="362"/>
      <c r="H13" s="362"/>
    </row>
    <row r="14" spans="1:18">
      <c r="A14" s="362">
        <v>11</v>
      </c>
      <c r="B14" s="363" t="s">
        <v>334</v>
      </c>
      <c r="C14" s="364">
        <v>473.74</v>
      </c>
      <c r="D14" s="364">
        <v>164.63</v>
      </c>
      <c r="E14" s="364">
        <v>309.11</v>
      </c>
      <c r="F14" s="365">
        <v>65543.37</v>
      </c>
      <c r="G14" s="362"/>
      <c r="H14" s="362"/>
    </row>
    <row r="15" spans="1:18">
      <c r="A15" s="362">
        <v>12</v>
      </c>
      <c r="B15" s="363" t="s">
        <v>335</v>
      </c>
      <c r="C15" s="364">
        <v>473.74</v>
      </c>
      <c r="D15" s="364">
        <v>163.86</v>
      </c>
      <c r="E15" s="364">
        <v>309.88</v>
      </c>
      <c r="F15" s="365">
        <v>65233.49</v>
      </c>
      <c r="G15" s="362">
        <f>SUM(D11:D22)</f>
        <v>1952.21</v>
      </c>
      <c r="H15" s="362">
        <f>SUM(C11:C22)</f>
        <v>5684.8799999999983</v>
      </c>
    </row>
    <row r="16" spans="1:18">
      <c r="A16" s="362">
        <v>13</v>
      </c>
      <c r="B16" s="363" t="s">
        <v>336</v>
      </c>
      <c r="C16" s="364">
        <v>473.74</v>
      </c>
      <c r="D16" s="364">
        <v>163.08000000000001</v>
      </c>
      <c r="E16" s="364">
        <v>310.66000000000003</v>
      </c>
      <c r="F16" s="365">
        <v>64922.83</v>
      </c>
      <c r="G16" s="362"/>
      <c r="H16" s="362"/>
    </row>
    <row r="17" spans="1:8">
      <c r="A17" s="362">
        <v>14</v>
      </c>
      <c r="B17" s="363" t="s">
        <v>337</v>
      </c>
      <c r="C17" s="364">
        <v>473.74</v>
      </c>
      <c r="D17" s="364">
        <v>162.31</v>
      </c>
      <c r="E17" s="364">
        <v>311.43</v>
      </c>
      <c r="F17" s="365">
        <v>64611.4</v>
      </c>
      <c r="G17" s="362"/>
      <c r="H17" s="362"/>
    </row>
    <row r="18" spans="1:8">
      <c r="A18" s="362">
        <v>15</v>
      </c>
      <c r="B18" s="363" t="s">
        <v>338</v>
      </c>
      <c r="C18" s="364">
        <v>473.74</v>
      </c>
      <c r="D18" s="364">
        <v>161.53</v>
      </c>
      <c r="E18" s="364">
        <v>312.20999999999998</v>
      </c>
      <c r="F18" s="365">
        <v>64299.19</v>
      </c>
      <c r="G18" s="362"/>
      <c r="H18" s="362"/>
    </row>
    <row r="19" spans="1:8">
      <c r="A19" s="362">
        <v>16</v>
      </c>
      <c r="B19" s="363" t="s">
        <v>339</v>
      </c>
      <c r="C19" s="364">
        <v>473.74</v>
      </c>
      <c r="D19" s="364">
        <v>160.75</v>
      </c>
      <c r="E19" s="364">
        <v>312.99</v>
      </c>
      <c r="F19" s="365">
        <v>63986.2</v>
      </c>
      <c r="G19" s="362"/>
      <c r="H19" s="362"/>
    </row>
    <row r="20" spans="1:8">
      <c r="A20" s="362">
        <v>17</v>
      </c>
      <c r="B20" s="363" t="s">
        <v>340</v>
      </c>
      <c r="C20" s="364">
        <v>473.74</v>
      </c>
      <c r="D20" s="364">
        <v>159.97</v>
      </c>
      <c r="E20" s="364">
        <v>313.77</v>
      </c>
      <c r="F20" s="365">
        <v>63672.43</v>
      </c>
      <c r="G20" s="362"/>
      <c r="H20" s="362"/>
    </row>
    <row r="21" spans="1:8">
      <c r="A21" s="362">
        <v>18</v>
      </c>
      <c r="B21" s="363" t="s">
        <v>341</v>
      </c>
      <c r="C21" s="364">
        <v>473.74</v>
      </c>
      <c r="D21" s="364">
        <v>159.18</v>
      </c>
      <c r="E21" s="364">
        <v>314.56</v>
      </c>
      <c r="F21" s="365">
        <v>63357.87</v>
      </c>
      <c r="G21" s="362"/>
      <c r="H21" s="362"/>
    </row>
    <row r="22" spans="1:8">
      <c r="A22" s="362">
        <v>19</v>
      </c>
      <c r="B22" s="363" t="s">
        <v>342</v>
      </c>
      <c r="C22" s="364">
        <v>473.74</v>
      </c>
      <c r="D22" s="364">
        <v>158.38999999999999</v>
      </c>
      <c r="E22" s="364">
        <v>315.35000000000002</v>
      </c>
      <c r="F22" s="365">
        <v>63042.52</v>
      </c>
      <c r="G22" s="362"/>
      <c r="H22" s="362"/>
    </row>
    <row r="23" spans="1:8">
      <c r="A23" s="362">
        <v>20</v>
      </c>
      <c r="B23" s="363" t="s">
        <v>343</v>
      </c>
      <c r="C23" s="364">
        <v>473.74</v>
      </c>
      <c r="D23" s="364">
        <v>157.61000000000001</v>
      </c>
      <c r="E23" s="364">
        <v>316.13</v>
      </c>
      <c r="F23" s="365">
        <v>62726.39</v>
      </c>
      <c r="G23" s="362"/>
      <c r="H23" s="362"/>
    </row>
    <row r="24" spans="1:8">
      <c r="A24" s="362">
        <v>21</v>
      </c>
      <c r="B24" s="363" t="s">
        <v>344</v>
      </c>
      <c r="C24" s="364">
        <v>473.74</v>
      </c>
      <c r="D24" s="364">
        <v>156.82</v>
      </c>
      <c r="E24" s="364">
        <v>316.92</v>
      </c>
      <c r="F24" s="365">
        <v>62409.47</v>
      </c>
      <c r="G24" s="362"/>
      <c r="H24" s="362"/>
    </row>
    <row r="25" spans="1:8">
      <c r="A25" s="362">
        <v>22</v>
      </c>
      <c r="B25" s="363" t="s">
        <v>345</v>
      </c>
      <c r="C25" s="364">
        <v>473.74</v>
      </c>
      <c r="D25" s="364">
        <v>156.02000000000001</v>
      </c>
      <c r="E25" s="364">
        <v>317.72000000000003</v>
      </c>
      <c r="F25" s="365">
        <v>62091.75</v>
      </c>
      <c r="G25" s="362"/>
      <c r="H25" s="362"/>
    </row>
    <row r="26" spans="1:8">
      <c r="A26" s="362">
        <v>23</v>
      </c>
      <c r="B26" s="363" t="s">
        <v>346</v>
      </c>
      <c r="C26" s="364">
        <v>473.74</v>
      </c>
      <c r="D26" s="364">
        <v>155.22999999999999</v>
      </c>
      <c r="E26" s="364">
        <v>318.51</v>
      </c>
      <c r="F26" s="365">
        <v>61773.24</v>
      </c>
      <c r="G26" s="362"/>
      <c r="H26" s="362"/>
    </row>
    <row r="27" spans="1:8">
      <c r="A27" s="362">
        <v>24</v>
      </c>
      <c r="B27" s="363" t="s">
        <v>347</v>
      </c>
      <c r="C27" s="364">
        <v>473.74</v>
      </c>
      <c r="D27" s="364">
        <v>154.43</v>
      </c>
      <c r="E27" s="364">
        <v>319.31</v>
      </c>
      <c r="F27" s="365">
        <v>61453.93</v>
      </c>
      <c r="G27" s="362">
        <f>SUM(D23:D34)</f>
        <v>1838.66</v>
      </c>
      <c r="H27" s="362">
        <f>SUM(C23:C34)</f>
        <v>5684.8799999999983</v>
      </c>
    </row>
    <row r="28" spans="1:8">
      <c r="A28" s="362">
        <v>25</v>
      </c>
      <c r="B28" s="363" t="s">
        <v>348</v>
      </c>
      <c r="C28" s="364">
        <v>473.74</v>
      </c>
      <c r="D28" s="364">
        <v>153.63</v>
      </c>
      <c r="E28" s="364">
        <v>320.11</v>
      </c>
      <c r="F28" s="365">
        <v>61133.82</v>
      </c>
      <c r="G28" s="362"/>
      <c r="H28" s="362"/>
    </row>
    <row r="29" spans="1:8">
      <c r="A29" s="362">
        <v>26</v>
      </c>
      <c r="B29" s="363" t="s">
        <v>349</v>
      </c>
      <c r="C29" s="364">
        <v>473.74</v>
      </c>
      <c r="D29" s="364">
        <v>152.83000000000001</v>
      </c>
      <c r="E29" s="364">
        <v>320.91000000000003</v>
      </c>
      <c r="F29" s="365">
        <v>60812.91</v>
      </c>
      <c r="G29" s="362"/>
      <c r="H29" s="362"/>
    </row>
    <row r="30" spans="1:8">
      <c r="A30" s="362">
        <v>27</v>
      </c>
      <c r="B30" s="363" t="s">
        <v>350</v>
      </c>
      <c r="C30" s="364">
        <v>473.74</v>
      </c>
      <c r="D30" s="364">
        <v>152.03</v>
      </c>
      <c r="E30" s="364">
        <v>321.70999999999998</v>
      </c>
      <c r="F30" s="365">
        <v>60491.199999999997</v>
      </c>
      <c r="G30" s="362"/>
      <c r="H30" s="362"/>
    </row>
    <row r="31" spans="1:8">
      <c r="A31" s="362">
        <v>28</v>
      </c>
      <c r="B31" s="363" t="s">
        <v>351</v>
      </c>
      <c r="C31" s="364">
        <v>473.74</v>
      </c>
      <c r="D31" s="364">
        <v>151.22999999999999</v>
      </c>
      <c r="E31" s="364">
        <v>322.51</v>
      </c>
      <c r="F31" s="365">
        <v>60168.69</v>
      </c>
      <c r="G31" s="362"/>
      <c r="H31" s="362"/>
    </row>
    <row r="32" spans="1:8">
      <c r="A32" s="362">
        <v>29</v>
      </c>
      <c r="B32" s="363" t="s">
        <v>352</v>
      </c>
      <c r="C32" s="364">
        <v>473.74</v>
      </c>
      <c r="D32" s="364">
        <v>150.41999999999999</v>
      </c>
      <c r="E32" s="364">
        <v>323.32</v>
      </c>
      <c r="F32" s="365">
        <v>59845.37</v>
      </c>
      <c r="G32" s="362"/>
      <c r="H32" s="362"/>
    </row>
    <row r="33" spans="1:8">
      <c r="A33" s="362">
        <v>30</v>
      </c>
      <c r="B33" s="363" t="s">
        <v>353</v>
      </c>
      <c r="C33" s="364">
        <v>473.74</v>
      </c>
      <c r="D33" s="364">
        <v>149.61000000000001</v>
      </c>
      <c r="E33" s="364">
        <v>324.13</v>
      </c>
      <c r="F33" s="365">
        <v>59521.24</v>
      </c>
      <c r="G33" s="362"/>
      <c r="H33" s="362"/>
    </row>
    <row r="34" spans="1:8">
      <c r="A34" s="362">
        <v>31</v>
      </c>
      <c r="B34" s="363" t="s">
        <v>354</v>
      </c>
      <c r="C34" s="364">
        <v>473.74</v>
      </c>
      <c r="D34" s="364">
        <v>148.80000000000001</v>
      </c>
      <c r="E34" s="364">
        <v>324.94</v>
      </c>
      <c r="F34" s="365">
        <v>59196.3</v>
      </c>
      <c r="G34" s="362"/>
      <c r="H34" s="362"/>
    </row>
    <row r="35" spans="1:8">
      <c r="A35" s="362">
        <v>32</v>
      </c>
      <c r="B35" s="363" t="s">
        <v>355</v>
      </c>
      <c r="C35" s="364">
        <v>473.74</v>
      </c>
      <c r="D35" s="364">
        <v>147.99</v>
      </c>
      <c r="E35" s="364">
        <v>325.75</v>
      </c>
      <c r="F35" s="365">
        <v>58870.55</v>
      </c>
      <c r="G35" s="362"/>
      <c r="H35" s="362"/>
    </row>
    <row r="36" spans="1:8">
      <c r="A36" s="362">
        <v>33</v>
      </c>
      <c r="B36" s="363" t="s">
        <v>356</v>
      </c>
      <c r="C36" s="364">
        <v>473.74</v>
      </c>
      <c r="D36" s="364">
        <v>147.18</v>
      </c>
      <c r="E36" s="364">
        <v>326.56</v>
      </c>
      <c r="F36" s="365">
        <v>58543.99</v>
      </c>
      <c r="G36" s="362"/>
      <c r="H36" s="362"/>
    </row>
    <row r="37" spans="1:8">
      <c r="A37" s="362">
        <v>34</v>
      </c>
      <c r="B37" s="363" t="s">
        <v>357</v>
      </c>
      <c r="C37" s="364">
        <v>473.74</v>
      </c>
      <c r="D37" s="364">
        <v>146.36000000000001</v>
      </c>
      <c r="E37" s="364">
        <v>327.38</v>
      </c>
      <c r="F37" s="365">
        <v>58216.61</v>
      </c>
      <c r="G37" s="362"/>
      <c r="H37" s="362"/>
    </row>
    <row r="38" spans="1:8">
      <c r="A38" s="362">
        <v>35</v>
      </c>
      <c r="B38" s="363" t="s">
        <v>358</v>
      </c>
      <c r="C38" s="364">
        <v>473.74</v>
      </c>
      <c r="D38" s="364">
        <v>145.54</v>
      </c>
      <c r="E38" s="364">
        <v>328.2</v>
      </c>
      <c r="F38" s="365">
        <v>57888.41</v>
      </c>
      <c r="G38" s="362"/>
      <c r="H38" s="362"/>
    </row>
    <row r="39" spans="1:8">
      <c r="A39" s="362">
        <v>36</v>
      </c>
      <c r="B39" s="363" t="s">
        <v>359</v>
      </c>
      <c r="C39" s="364">
        <v>473.74</v>
      </c>
      <c r="D39" s="364">
        <v>144.72</v>
      </c>
      <c r="E39" s="364">
        <v>329.02</v>
      </c>
      <c r="F39" s="365">
        <v>57559.39</v>
      </c>
      <c r="G39" s="362">
        <f>SUM(D35:D46)</f>
        <v>1721.69</v>
      </c>
      <c r="H39" s="362">
        <f>SUM(C35:C46)</f>
        <v>5684.8799999999983</v>
      </c>
    </row>
    <row r="40" spans="1:8">
      <c r="A40" s="362">
        <v>37</v>
      </c>
      <c r="B40" s="363" t="s">
        <v>360</v>
      </c>
      <c r="C40" s="364">
        <v>473.74</v>
      </c>
      <c r="D40" s="364">
        <v>143.9</v>
      </c>
      <c r="E40" s="364">
        <v>329.84</v>
      </c>
      <c r="F40" s="365">
        <v>57229.55</v>
      </c>
      <c r="G40" s="362"/>
      <c r="H40" s="362"/>
    </row>
    <row r="41" spans="1:8">
      <c r="A41" s="362">
        <v>38</v>
      </c>
      <c r="B41" s="363" t="s">
        <v>361</v>
      </c>
      <c r="C41" s="364">
        <v>473.74</v>
      </c>
      <c r="D41" s="364">
        <v>143.07</v>
      </c>
      <c r="E41" s="364">
        <v>330.67</v>
      </c>
      <c r="F41" s="365">
        <v>56898.879999999997</v>
      </c>
      <c r="G41" s="362"/>
      <c r="H41" s="362"/>
    </row>
    <row r="42" spans="1:8">
      <c r="A42" s="362">
        <v>39</v>
      </c>
      <c r="B42" s="363" t="s">
        <v>362</v>
      </c>
      <c r="C42" s="364">
        <v>473.74</v>
      </c>
      <c r="D42" s="364">
        <v>142.25</v>
      </c>
      <c r="E42" s="364">
        <v>331.49</v>
      </c>
      <c r="F42" s="365">
        <v>56567.39</v>
      </c>
      <c r="G42" s="362"/>
      <c r="H42" s="362"/>
    </row>
    <row r="43" spans="1:8">
      <c r="A43" s="362">
        <v>40</v>
      </c>
      <c r="B43" s="363" t="s">
        <v>363</v>
      </c>
      <c r="C43" s="364">
        <v>473.74</v>
      </c>
      <c r="D43" s="364">
        <v>141.41999999999999</v>
      </c>
      <c r="E43" s="364">
        <v>332.32</v>
      </c>
      <c r="F43" s="365">
        <v>56235.07</v>
      </c>
      <c r="G43" s="362"/>
      <c r="H43" s="362"/>
    </row>
    <row r="44" spans="1:8">
      <c r="A44" s="362">
        <v>41</v>
      </c>
      <c r="B44" s="363" t="s">
        <v>364</v>
      </c>
      <c r="C44" s="364">
        <v>473.74</v>
      </c>
      <c r="D44" s="364">
        <v>140.59</v>
      </c>
      <c r="E44" s="364">
        <v>333.15</v>
      </c>
      <c r="F44" s="365">
        <v>55901.919999999998</v>
      </c>
      <c r="G44" s="362"/>
      <c r="H44" s="362"/>
    </row>
    <row r="45" spans="1:8">
      <c r="A45" s="362">
        <v>42</v>
      </c>
      <c r="B45" s="363" t="s">
        <v>365</v>
      </c>
      <c r="C45" s="364">
        <v>473.74</v>
      </c>
      <c r="D45" s="364">
        <v>139.75</v>
      </c>
      <c r="E45" s="364">
        <v>333.99</v>
      </c>
      <c r="F45" s="365">
        <v>55567.93</v>
      </c>
      <c r="G45" s="362"/>
      <c r="H45" s="362"/>
    </row>
    <row r="46" spans="1:8">
      <c r="A46" s="362">
        <v>43</v>
      </c>
      <c r="B46" s="363" t="s">
        <v>366</v>
      </c>
      <c r="C46" s="364">
        <v>473.74</v>
      </c>
      <c r="D46" s="364">
        <v>138.91999999999999</v>
      </c>
      <c r="E46" s="364">
        <v>334.82</v>
      </c>
      <c r="F46" s="365">
        <v>55233.11</v>
      </c>
      <c r="G46" s="362"/>
      <c r="H46" s="362"/>
    </row>
    <row r="47" spans="1:8">
      <c r="A47" s="362">
        <v>44</v>
      </c>
      <c r="B47" s="363" t="s">
        <v>367</v>
      </c>
      <c r="C47" s="364">
        <v>473.74</v>
      </c>
      <c r="D47" s="364">
        <v>138.08000000000001</v>
      </c>
      <c r="E47" s="364">
        <v>335.66</v>
      </c>
      <c r="F47" s="365">
        <v>54897.45</v>
      </c>
      <c r="G47" s="362"/>
      <c r="H47" s="362"/>
    </row>
    <row r="48" spans="1:8">
      <c r="A48" s="362">
        <v>45</v>
      </c>
      <c r="B48" s="363" t="s">
        <v>368</v>
      </c>
      <c r="C48" s="364">
        <v>473.74</v>
      </c>
      <c r="D48" s="364">
        <v>137.24</v>
      </c>
      <c r="E48" s="364">
        <v>336.5</v>
      </c>
      <c r="F48" s="365">
        <v>54560.95</v>
      </c>
      <c r="G48" s="362"/>
      <c r="H48" s="362"/>
    </row>
    <row r="49" spans="1:8">
      <c r="A49" s="362">
        <v>46</v>
      </c>
      <c r="B49" s="363" t="s">
        <v>369</v>
      </c>
      <c r="C49" s="364">
        <v>473.74</v>
      </c>
      <c r="D49" s="364">
        <v>136.4</v>
      </c>
      <c r="E49" s="364">
        <v>337.34</v>
      </c>
      <c r="F49" s="365">
        <v>54223.61</v>
      </c>
      <c r="G49" s="362"/>
      <c r="H49" s="362"/>
    </row>
    <row r="50" spans="1:8">
      <c r="A50" s="362">
        <v>47</v>
      </c>
      <c r="B50" s="363" t="s">
        <v>370</v>
      </c>
      <c r="C50" s="364">
        <v>473.74</v>
      </c>
      <c r="D50" s="364">
        <v>135.56</v>
      </c>
      <c r="E50" s="364">
        <v>338.18</v>
      </c>
      <c r="F50" s="365">
        <v>53885.43</v>
      </c>
      <c r="G50" s="362"/>
      <c r="H50" s="362"/>
    </row>
    <row r="51" spans="1:8">
      <c r="A51" s="362">
        <v>48</v>
      </c>
      <c r="B51" s="363" t="s">
        <v>371</v>
      </c>
      <c r="C51" s="364">
        <v>473.74</v>
      </c>
      <c r="D51" s="364">
        <v>134.71</v>
      </c>
      <c r="E51" s="364">
        <v>339.03</v>
      </c>
      <c r="F51" s="365">
        <v>53546.400000000001</v>
      </c>
      <c r="G51" s="362">
        <f>SUM(D47:D58)</f>
        <v>1601.1399999999999</v>
      </c>
      <c r="H51" s="362">
        <f>SUM(C47:C58)</f>
        <v>5684.8799999999983</v>
      </c>
    </row>
    <row r="52" spans="1:8">
      <c r="A52" s="362">
        <v>49</v>
      </c>
      <c r="B52" s="363" t="s">
        <v>372</v>
      </c>
      <c r="C52" s="364">
        <v>473.74</v>
      </c>
      <c r="D52" s="364">
        <v>133.87</v>
      </c>
      <c r="E52" s="364">
        <v>339.87</v>
      </c>
      <c r="F52" s="365">
        <v>53206.53</v>
      </c>
      <c r="G52" s="362"/>
      <c r="H52" s="362"/>
    </row>
    <row r="53" spans="1:8">
      <c r="A53" s="362">
        <v>50</v>
      </c>
      <c r="B53" s="363" t="s">
        <v>373</v>
      </c>
      <c r="C53" s="364">
        <v>473.74</v>
      </c>
      <c r="D53" s="364">
        <v>133.02000000000001</v>
      </c>
      <c r="E53" s="364">
        <v>340.72</v>
      </c>
      <c r="F53" s="365">
        <v>52865.81</v>
      </c>
      <c r="G53" s="362"/>
      <c r="H53" s="362"/>
    </row>
    <row r="54" spans="1:8">
      <c r="A54" s="362">
        <v>51</v>
      </c>
      <c r="B54" s="363" t="s">
        <v>374</v>
      </c>
      <c r="C54" s="364">
        <v>473.74</v>
      </c>
      <c r="D54" s="364">
        <v>132.16</v>
      </c>
      <c r="E54" s="364">
        <v>341.58</v>
      </c>
      <c r="F54" s="365">
        <v>52524.23</v>
      </c>
      <c r="G54" s="362"/>
      <c r="H54" s="362"/>
    </row>
    <row r="55" spans="1:8">
      <c r="A55" s="362">
        <v>52</v>
      </c>
      <c r="B55" s="363" t="s">
        <v>375</v>
      </c>
      <c r="C55" s="364">
        <v>473.74</v>
      </c>
      <c r="D55" s="364">
        <v>131.31</v>
      </c>
      <c r="E55" s="364">
        <v>342.43</v>
      </c>
      <c r="F55" s="365">
        <v>52181.8</v>
      </c>
      <c r="G55" s="362"/>
      <c r="H55" s="362"/>
    </row>
    <row r="56" spans="1:8">
      <c r="A56" s="362">
        <v>53</v>
      </c>
      <c r="B56" s="363" t="s">
        <v>376</v>
      </c>
      <c r="C56" s="364">
        <v>473.74</v>
      </c>
      <c r="D56" s="364">
        <v>130.44999999999999</v>
      </c>
      <c r="E56" s="364">
        <v>343.29</v>
      </c>
      <c r="F56" s="365">
        <v>51838.51</v>
      </c>
      <c r="G56" s="362"/>
      <c r="H56" s="362"/>
    </row>
    <row r="57" spans="1:8">
      <c r="A57" s="362">
        <v>54</v>
      </c>
      <c r="B57" s="363" t="s">
        <v>377</v>
      </c>
      <c r="C57" s="364">
        <v>473.74</v>
      </c>
      <c r="D57" s="364">
        <v>129.6</v>
      </c>
      <c r="E57" s="364">
        <v>344.14</v>
      </c>
      <c r="F57" s="365">
        <v>51494.37</v>
      </c>
      <c r="G57" s="362"/>
      <c r="H57" s="362"/>
    </row>
    <row r="58" spans="1:8">
      <c r="A58" s="362">
        <v>55</v>
      </c>
      <c r="B58" s="363" t="s">
        <v>378</v>
      </c>
      <c r="C58" s="364">
        <v>473.74</v>
      </c>
      <c r="D58" s="364">
        <v>128.74</v>
      </c>
      <c r="E58" s="364">
        <v>345</v>
      </c>
      <c r="F58" s="365">
        <v>51149.37</v>
      </c>
      <c r="G58" s="362"/>
      <c r="H58" s="362"/>
    </row>
    <row r="59" spans="1:8">
      <c r="A59" s="362">
        <v>56</v>
      </c>
      <c r="B59" s="363" t="s">
        <v>379</v>
      </c>
      <c r="C59" s="364">
        <v>473.74</v>
      </c>
      <c r="D59" s="364">
        <v>127.87</v>
      </c>
      <c r="E59" s="364">
        <v>345.87</v>
      </c>
      <c r="F59" s="365">
        <v>50803.5</v>
      </c>
      <c r="G59" s="362"/>
      <c r="H59" s="362"/>
    </row>
    <row r="60" spans="1:8">
      <c r="A60" s="362">
        <v>57</v>
      </c>
      <c r="B60" s="363" t="s">
        <v>380</v>
      </c>
      <c r="C60" s="364">
        <v>473.74</v>
      </c>
      <c r="D60" s="364">
        <v>127.01</v>
      </c>
      <c r="E60" s="364">
        <v>346.73</v>
      </c>
      <c r="F60" s="365">
        <v>50456.77</v>
      </c>
      <c r="G60" s="362"/>
      <c r="H60" s="362"/>
    </row>
    <row r="61" spans="1:8">
      <c r="A61" s="362">
        <v>58</v>
      </c>
      <c r="B61" s="363" t="s">
        <v>381</v>
      </c>
      <c r="C61" s="364">
        <v>473.74</v>
      </c>
      <c r="D61" s="364">
        <v>126.14</v>
      </c>
      <c r="E61" s="364">
        <v>347.6</v>
      </c>
      <c r="F61" s="365">
        <v>50109.17</v>
      </c>
      <c r="G61" s="362"/>
      <c r="H61" s="362"/>
    </row>
    <row r="62" spans="1:8">
      <c r="A62" s="362">
        <v>59</v>
      </c>
      <c r="B62" s="363" t="s">
        <v>382</v>
      </c>
      <c r="C62" s="364">
        <v>473.74</v>
      </c>
      <c r="D62" s="364">
        <v>125.27</v>
      </c>
      <c r="E62" s="364">
        <v>348.47</v>
      </c>
      <c r="F62" s="365">
        <v>49760.7</v>
      </c>
      <c r="G62" s="362"/>
      <c r="H62" s="362"/>
    </row>
    <row r="63" spans="1:8">
      <c r="A63" s="362">
        <v>60</v>
      </c>
      <c r="B63" s="363" t="s">
        <v>383</v>
      </c>
      <c r="C63" s="364">
        <v>473.74</v>
      </c>
      <c r="D63" s="364">
        <v>124.4</v>
      </c>
      <c r="E63" s="364">
        <v>349.34</v>
      </c>
      <c r="F63" s="365">
        <v>49411.360000000001</v>
      </c>
      <c r="G63" s="362">
        <f>SUM(D59:D70)</f>
        <v>1476.93</v>
      </c>
      <c r="H63" s="362"/>
    </row>
    <row r="64" spans="1:8">
      <c r="A64" s="362">
        <v>61</v>
      </c>
      <c r="B64" s="363" t="s">
        <v>384</v>
      </c>
      <c r="C64" s="364">
        <v>473.74</v>
      </c>
      <c r="D64" s="364">
        <v>123.53</v>
      </c>
      <c r="E64" s="364">
        <v>350.21</v>
      </c>
      <c r="F64" s="365">
        <v>49061.15</v>
      </c>
      <c r="G64" s="362"/>
      <c r="H64" s="362"/>
    </row>
    <row r="65" spans="1:8">
      <c r="A65" s="362">
        <v>62</v>
      </c>
      <c r="B65" s="363" t="s">
        <v>385</v>
      </c>
      <c r="C65" s="364">
        <v>473.74</v>
      </c>
      <c r="D65" s="364">
        <v>122.65</v>
      </c>
      <c r="E65" s="364">
        <v>351.09</v>
      </c>
      <c r="F65" s="365">
        <v>48710.06</v>
      </c>
      <c r="G65" s="362"/>
      <c r="H65" s="362"/>
    </row>
    <row r="66" spans="1:8">
      <c r="A66" s="362">
        <v>63</v>
      </c>
      <c r="B66" s="363" t="s">
        <v>386</v>
      </c>
      <c r="C66" s="364">
        <v>473.74</v>
      </c>
      <c r="D66" s="364">
        <v>121.78</v>
      </c>
      <c r="E66" s="364">
        <v>351.96</v>
      </c>
      <c r="F66" s="365">
        <v>48358.1</v>
      </c>
      <c r="G66" s="362"/>
      <c r="H66" s="362"/>
    </row>
    <row r="67" spans="1:8">
      <c r="A67" s="362">
        <v>64</v>
      </c>
      <c r="B67" s="363" t="s">
        <v>387</v>
      </c>
      <c r="C67" s="364">
        <v>473.74</v>
      </c>
      <c r="D67" s="364">
        <v>120.9</v>
      </c>
      <c r="E67" s="364">
        <v>352.84</v>
      </c>
      <c r="F67" s="365">
        <v>48005.26</v>
      </c>
      <c r="G67" s="362"/>
      <c r="H67" s="362"/>
    </row>
    <row r="68" spans="1:8">
      <c r="A68" s="362">
        <v>65</v>
      </c>
      <c r="B68" s="363" t="s">
        <v>388</v>
      </c>
      <c r="C68" s="364">
        <v>473.74</v>
      </c>
      <c r="D68" s="364">
        <v>120.01</v>
      </c>
      <c r="E68" s="364">
        <v>353.73</v>
      </c>
      <c r="F68" s="365">
        <v>47651.53</v>
      </c>
      <c r="G68" s="362"/>
      <c r="H68" s="362"/>
    </row>
    <row r="69" spans="1:8">
      <c r="A69" s="362">
        <v>66</v>
      </c>
      <c r="B69" s="363" t="s">
        <v>389</v>
      </c>
      <c r="C69" s="364">
        <v>473.74</v>
      </c>
      <c r="D69" s="364">
        <v>119.13</v>
      </c>
      <c r="E69" s="364">
        <v>354.61</v>
      </c>
      <c r="F69" s="365">
        <v>47296.92</v>
      </c>
      <c r="G69" s="362"/>
      <c r="H69" s="362"/>
    </row>
    <row r="70" spans="1:8">
      <c r="A70" s="362">
        <v>67</v>
      </c>
      <c r="B70" s="363" t="s">
        <v>390</v>
      </c>
      <c r="C70" s="364">
        <v>473.74</v>
      </c>
      <c r="D70" s="364">
        <v>118.24</v>
      </c>
      <c r="E70" s="364">
        <v>355.5</v>
      </c>
      <c r="F70" s="365">
        <v>46941.42</v>
      </c>
      <c r="G70" s="362"/>
      <c r="H70" s="362"/>
    </row>
    <row r="71" spans="1:8">
      <c r="A71" s="362">
        <v>68</v>
      </c>
      <c r="B71" s="363" t="s">
        <v>391</v>
      </c>
      <c r="C71" s="364">
        <v>473.74</v>
      </c>
      <c r="D71" s="364">
        <v>117.35</v>
      </c>
      <c r="E71" s="364">
        <v>356.39</v>
      </c>
      <c r="F71" s="365">
        <v>46585.03</v>
      </c>
      <c r="G71" s="362"/>
      <c r="H71" s="362"/>
    </row>
    <row r="72" spans="1:8">
      <c r="A72" s="362">
        <v>69</v>
      </c>
      <c r="B72" s="363" t="s">
        <v>392</v>
      </c>
      <c r="C72" s="364">
        <v>473.74</v>
      </c>
      <c r="D72" s="364">
        <v>116.46</v>
      </c>
      <c r="E72" s="364">
        <v>357.28</v>
      </c>
      <c r="F72" s="365">
        <v>46227.75</v>
      </c>
      <c r="G72" s="362"/>
      <c r="H72" s="362"/>
    </row>
    <row r="73" spans="1:8">
      <c r="A73" s="362">
        <v>70</v>
      </c>
      <c r="B73" s="363" t="s">
        <v>393</v>
      </c>
      <c r="C73" s="364">
        <v>473.74</v>
      </c>
      <c r="D73" s="364">
        <v>115.57</v>
      </c>
      <c r="E73" s="364">
        <v>358.17</v>
      </c>
      <c r="F73" s="365">
        <v>45869.58</v>
      </c>
      <c r="G73" s="362"/>
      <c r="H73" s="362"/>
    </row>
    <row r="74" spans="1:8">
      <c r="A74" s="362">
        <v>71</v>
      </c>
      <c r="B74" s="363" t="s">
        <v>394</v>
      </c>
      <c r="C74" s="364">
        <v>473.74</v>
      </c>
      <c r="D74" s="364">
        <v>114.67</v>
      </c>
      <c r="E74" s="364">
        <v>359.07</v>
      </c>
      <c r="F74" s="365">
        <v>45510.51</v>
      </c>
      <c r="G74" s="362"/>
      <c r="H74" s="362"/>
    </row>
    <row r="75" spans="1:8">
      <c r="A75" s="362">
        <v>72</v>
      </c>
      <c r="B75" s="363" t="s">
        <v>395</v>
      </c>
      <c r="C75" s="364">
        <v>473.74</v>
      </c>
      <c r="D75" s="364">
        <v>113.78</v>
      </c>
      <c r="E75" s="364">
        <v>359.96</v>
      </c>
      <c r="F75" s="365">
        <v>45150.55</v>
      </c>
      <c r="G75" s="362">
        <f>SUM(D71:D82)</f>
        <v>1348.9299999999998</v>
      </c>
      <c r="H75" s="362"/>
    </row>
    <row r="76" spans="1:8">
      <c r="A76" s="362">
        <v>73</v>
      </c>
      <c r="B76" s="363" t="s">
        <v>396</v>
      </c>
      <c r="C76" s="364">
        <v>473.74</v>
      </c>
      <c r="D76" s="364">
        <v>112.88</v>
      </c>
      <c r="E76" s="364">
        <v>360.86</v>
      </c>
      <c r="F76" s="365">
        <v>44789.69</v>
      </c>
      <c r="G76" s="362"/>
      <c r="H76" s="362"/>
    </row>
    <row r="77" spans="1:8">
      <c r="A77" s="362">
        <v>74</v>
      </c>
      <c r="B77" s="363" t="s">
        <v>397</v>
      </c>
      <c r="C77" s="364">
        <v>473.74</v>
      </c>
      <c r="D77" s="364">
        <v>111.97</v>
      </c>
      <c r="E77" s="364">
        <v>361.77</v>
      </c>
      <c r="F77" s="365">
        <v>44427.92</v>
      </c>
      <c r="G77" s="362"/>
      <c r="H77" s="362"/>
    </row>
    <row r="78" spans="1:8">
      <c r="A78" s="362">
        <v>75</v>
      </c>
      <c r="B78" s="363" t="s">
        <v>398</v>
      </c>
      <c r="C78" s="364">
        <v>473.74</v>
      </c>
      <c r="D78" s="364">
        <v>111.07</v>
      </c>
      <c r="E78" s="364">
        <v>362.67</v>
      </c>
      <c r="F78" s="365">
        <v>44065.25</v>
      </c>
      <c r="G78" s="362"/>
      <c r="H78" s="362"/>
    </row>
    <row r="79" spans="1:8">
      <c r="A79" s="362">
        <v>76</v>
      </c>
      <c r="B79" s="363" t="s">
        <v>399</v>
      </c>
      <c r="C79" s="364">
        <v>473.74</v>
      </c>
      <c r="D79" s="364">
        <v>110.16</v>
      </c>
      <c r="E79" s="364">
        <v>363.58</v>
      </c>
      <c r="F79" s="365">
        <v>43701.67</v>
      </c>
      <c r="G79" s="362"/>
      <c r="H79" s="362"/>
    </row>
    <row r="80" spans="1:8">
      <c r="A80" s="362">
        <v>77</v>
      </c>
      <c r="B80" s="363" t="s">
        <v>400</v>
      </c>
      <c r="C80" s="364">
        <v>473.74</v>
      </c>
      <c r="D80" s="364">
        <v>109.25</v>
      </c>
      <c r="E80" s="364">
        <v>364.49</v>
      </c>
      <c r="F80" s="365">
        <v>43337.18</v>
      </c>
      <c r="G80" s="362"/>
      <c r="H80" s="362"/>
    </row>
    <row r="81" spans="1:8">
      <c r="A81" s="362">
        <v>78</v>
      </c>
      <c r="B81" s="363" t="s">
        <v>401</v>
      </c>
      <c r="C81" s="364">
        <v>473.74</v>
      </c>
      <c r="D81" s="364">
        <v>108.34</v>
      </c>
      <c r="E81" s="364">
        <v>365.4</v>
      </c>
      <c r="F81" s="365">
        <v>42971.78</v>
      </c>
      <c r="G81" s="362"/>
      <c r="H81" s="362"/>
    </row>
    <row r="82" spans="1:8">
      <c r="A82" s="362">
        <v>79</v>
      </c>
      <c r="B82" s="363" t="s">
        <v>402</v>
      </c>
      <c r="C82" s="364">
        <v>473.74</v>
      </c>
      <c r="D82" s="364">
        <v>107.43</v>
      </c>
      <c r="E82" s="364">
        <v>366.31</v>
      </c>
      <c r="F82" s="365">
        <v>42605.47</v>
      </c>
      <c r="G82" s="362"/>
      <c r="H82" s="362"/>
    </row>
    <row r="83" spans="1:8">
      <c r="A83" s="362">
        <v>80</v>
      </c>
      <c r="B83" s="363" t="s">
        <v>403</v>
      </c>
      <c r="C83" s="364">
        <v>473.74</v>
      </c>
      <c r="D83" s="364">
        <v>106.51</v>
      </c>
      <c r="E83" s="364">
        <v>367.23</v>
      </c>
      <c r="F83" s="365">
        <v>42238.239999999998</v>
      </c>
      <c r="G83" s="362"/>
      <c r="H83" s="362"/>
    </row>
    <row r="84" spans="1:8">
      <c r="A84" s="362">
        <v>81</v>
      </c>
      <c r="B84" s="363" t="s">
        <v>404</v>
      </c>
      <c r="C84" s="364">
        <v>473.74</v>
      </c>
      <c r="D84" s="364">
        <v>105.6</v>
      </c>
      <c r="E84" s="364">
        <v>368.14</v>
      </c>
      <c r="F84" s="365">
        <v>41870.1</v>
      </c>
      <c r="G84" s="362"/>
      <c r="H84" s="362"/>
    </row>
    <row r="85" spans="1:8">
      <c r="A85" s="362">
        <v>82</v>
      </c>
      <c r="B85" s="363" t="s">
        <v>405</v>
      </c>
      <c r="C85" s="364">
        <v>473.74</v>
      </c>
      <c r="D85" s="364">
        <v>104.68</v>
      </c>
      <c r="E85" s="364">
        <v>369.06</v>
      </c>
      <c r="F85" s="365">
        <v>41501.040000000001</v>
      </c>
      <c r="G85" s="362"/>
      <c r="H85" s="362"/>
    </row>
    <row r="86" spans="1:8">
      <c r="A86" s="362">
        <v>83</v>
      </c>
      <c r="B86" s="363" t="s">
        <v>406</v>
      </c>
      <c r="C86" s="364">
        <v>473.74</v>
      </c>
      <c r="D86" s="364">
        <v>103.75</v>
      </c>
      <c r="E86" s="364">
        <v>369.99</v>
      </c>
      <c r="F86" s="365">
        <v>41131.050000000003</v>
      </c>
      <c r="G86" s="362"/>
      <c r="H86" s="362"/>
    </row>
    <row r="87" spans="1:8">
      <c r="A87" s="362">
        <v>84</v>
      </c>
      <c r="B87" s="363" t="s">
        <v>407</v>
      </c>
      <c r="C87" s="364">
        <v>473.74</v>
      </c>
      <c r="D87" s="364">
        <v>102.83</v>
      </c>
      <c r="E87" s="364">
        <v>370.91</v>
      </c>
      <c r="F87" s="365">
        <v>40760.14</v>
      </c>
      <c r="G87" s="362">
        <f>SUM(D83:D94)</f>
        <v>1217.07</v>
      </c>
      <c r="H87" s="362"/>
    </row>
    <row r="88" spans="1:8">
      <c r="A88" s="362">
        <v>85</v>
      </c>
      <c r="B88" s="363" t="s">
        <v>408</v>
      </c>
      <c r="C88" s="364">
        <v>473.74</v>
      </c>
      <c r="D88" s="364">
        <v>101.9</v>
      </c>
      <c r="E88" s="364">
        <v>371.84</v>
      </c>
      <c r="F88" s="365">
        <v>40388.300000000003</v>
      </c>
      <c r="G88" s="362"/>
      <c r="H88" s="362"/>
    </row>
    <row r="89" spans="1:8">
      <c r="A89" s="362">
        <v>86</v>
      </c>
      <c r="B89" s="363" t="s">
        <v>409</v>
      </c>
      <c r="C89" s="364">
        <v>473.74</v>
      </c>
      <c r="D89" s="364">
        <v>100.97</v>
      </c>
      <c r="E89" s="364">
        <v>372.77</v>
      </c>
      <c r="F89" s="365">
        <v>40015.53</v>
      </c>
      <c r="G89" s="362"/>
      <c r="H89" s="362"/>
    </row>
    <row r="90" spans="1:8">
      <c r="A90" s="362">
        <v>87</v>
      </c>
      <c r="B90" s="363" t="s">
        <v>410</v>
      </c>
      <c r="C90" s="364">
        <v>473.74</v>
      </c>
      <c r="D90" s="364">
        <v>100.04</v>
      </c>
      <c r="E90" s="364">
        <v>373.7</v>
      </c>
      <c r="F90" s="365">
        <v>39641.83</v>
      </c>
      <c r="G90" s="362"/>
      <c r="H90" s="362"/>
    </row>
    <row r="91" spans="1:8">
      <c r="A91" s="362">
        <v>88</v>
      </c>
      <c r="B91" s="363" t="s">
        <v>411</v>
      </c>
      <c r="C91" s="364">
        <v>473.74</v>
      </c>
      <c r="D91" s="364">
        <v>99.1</v>
      </c>
      <c r="E91" s="364">
        <v>374.64</v>
      </c>
      <c r="F91" s="365">
        <v>39267.19</v>
      </c>
      <c r="G91" s="362"/>
      <c r="H91" s="362"/>
    </row>
    <row r="92" spans="1:8">
      <c r="A92" s="362">
        <v>89</v>
      </c>
      <c r="B92" s="363" t="s">
        <v>412</v>
      </c>
      <c r="C92" s="364">
        <v>473.74</v>
      </c>
      <c r="D92" s="364">
        <v>98.17</v>
      </c>
      <c r="E92" s="364">
        <v>375.57</v>
      </c>
      <c r="F92" s="365">
        <v>38891.620000000003</v>
      </c>
      <c r="G92" s="362"/>
      <c r="H92" s="362"/>
    </row>
    <row r="93" spans="1:8">
      <c r="A93" s="362">
        <v>90</v>
      </c>
      <c r="B93" s="363" t="s">
        <v>413</v>
      </c>
      <c r="C93" s="364">
        <v>473.74</v>
      </c>
      <c r="D93" s="364">
        <v>97.23</v>
      </c>
      <c r="E93" s="364">
        <v>376.51</v>
      </c>
      <c r="F93" s="365">
        <v>38515.11</v>
      </c>
      <c r="G93" s="362"/>
      <c r="H93" s="362"/>
    </row>
    <row r="94" spans="1:8">
      <c r="A94" s="362">
        <v>91</v>
      </c>
      <c r="B94" s="363" t="s">
        <v>414</v>
      </c>
      <c r="C94" s="364">
        <v>473.74</v>
      </c>
      <c r="D94" s="364">
        <v>96.29</v>
      </c>
      <c r="E94" s="364">
        <v>377.45</v>
      </c>
      <c r="F94" s="365">
        <v>38137.660000000003</v>
      </c>
      <c r="G94" s="362"/>
      <c r="H94" s="362"/>
    </row>
    <row r="95" spans="1:8">
      <c r="A95" s="362">
        <v>92</v>
      </c>
      <c r="B95" s="363" t="s">
        <v>415</v>
      </c>
      <c r="C95" s="364">
        <v>473.74</v>
      </c>
      <c r="D95" s="364">
        <v>95.34</v>
      </c>
      <c r="E95" s="364">
        <v>378.4</v>
      </c>
      <c r="F95" s="365">
        <v>37759.26</v>
      </c>
      <c r="G95" s="362"/>
      <c r="H95" s="362"/>
    </row>
    <row r="96" spans="1:8">
      <c r="A96" s="362">
        <v>93</v>
      </c>
      <c r="B96" s="363" t="s">
        <v>416</v>
      </c>
      <c r="C96" s="364">
        <v>473.74</v>
      </c>
      <c r="D96" s="364">
        <v>94.4</v>
      </c>
      <c r="E96" s="364">
        <v>379.34</v>
      </c>
      <c r="F96" s="365">
        <v>37379.919999999998</v>
      </c>
      <c r="G96" s="362"/>
      <c r="H96" s="362"/>
    </row>
    <row r="97" spans="1:8">
      <c r="A97" s="362">
        <v>94</v>
      </c>
      <c r="B97" s="363" t="s">
        <v>417</v>
      </c>
      <c r="C97" s="364">
        <v>473.74</v>
      </c>
      <c r="D97" s="364">
        <v>93.45</v>
      </c>
      <c r="E97" s="364">
        <v>380.29</v>
      </c>
      <c r="F97" s="365">
        <v>36999.629999999997</v>
      </c>
      <c r="G97" s="362"/>
      <c r="H97" s="362"/>
    </row>
    <row r="98" spans="1:8">
      <c r="A98" s="362">
        <v>95</v>
      </c>
      <c r="B98" s="363" t="s">
        <v>418</v>
      </c>
      <c r="C98" s="364">
        <v>473.74</v>
      </c>
      <c r="D98" s="364">
        <v>92.5</v>
      </c>
      <c r="E98" s="364">
        <v>381.24</v>
      </c>
      <c r="F98" s="365">
        <v>36618.39</v>
      </c>
      <c r="G98" s="362"/>
      <c r="H98" s="362"/>
    </row>
    <row r="99" spans="1:8">
      <c r="A99" s="362">
        <v>96</v>
      </c>
      <c r="B99" s="363" t="s">
        <v>419</v>
      </c>
      <c r="C99" s="364">
        <v>473.74</v>
      </c>
      <c r="D99" s="364">
        <v>91.55</v>
      </c>
      <c r="E99" s="364">
        <v>382.19</v>
      </c>
      <c r="F99" s="365">
        <v>36236.199999999997</v>
      </c>
      <c r="G99" s="362">
        <f>SUM(D95:D106)</f>
        <v>1081.17</v>
      </c>
      <c r="H99" s="362"/>
    </row>
    <row r="100" spans="1:8">
      <c r="A100" s="362">
        <v>97</v>
      </c>
      <c r="B100" s="363" t="s">
        <v>420</v>
      </c>
      <c r="C100" s="364">
        <v>473.74</v>
      </c>
      <c r="D100" s="364">
        <v>90.59</v>
      </c>
      <c r="E100" s="364">
        <v>383.15</v>
      </c>
      <c r="F100" s="365">
        <v>35853.050000000003</v>
      </c>
      <c r="G100" s="362"/>
      <c r="H100" s="362"/>
    </row>
    <row r="101" spans="1:8">
      <c r="A101" s="362">
        <v>98</v>
      </c>
      <c r="B101" s="363" t="s">
        <v>421</v>
      </c>
      <c r="C101" s="364">
        <v>473.74</v>
      </c>
      <c r="D101" s="364">
        <v>89.63</v>
      </c>
      <c r="E101" s="364">
        <v>384.11</v>
      </c>
      <c r="F101" s="365">
        <v>35468.94</v>
      </c>
      <c r="G101" s="362"/>
      <c r="H101" s="362"/>
    </row>
    <row r="102" spans="1:8">
      <c r="A102" s="362">
        <v>99</v>
      </c>
      <c r="B102" s="363" t="s">
        <v>422</v>
      </c>
      <c r="C102" s="364">
        <v>473.74</v>
      </c>
      <c r="D102" s="364">
        <v>88.67</v>
      </c>
      <c r="E102" s="364">
        <v>385.07</v>
      </c>
      <c r="F102" s="365">
        <v>35083.870000000003</v>
      </c>
      <c r="G102" s="362"/>
      <c r="H102" s="362"/>
    </row>
    <row r="103" spans="1:8">
      <c r="A103" s="362">
        <v>100</v>
      </c>
      <c r="B103" s="363" t="s">
        <v>423</v>
      </c>
      <c r="C103" s="364">
        <v>473.74</v>
      </c>
      <c r="D103" s="364">
        <v>87.71</v>
      </c>
      <c r="E103" s="364">
        <v>386.03</v>
      </c>
      <c r="F103" s="365">
        <v>34697.839999999997</v>
      </c>
      <c r="G103" s="362"/>
      <c r="H103" s="362"/>
    </row>
    <row r="104" spans="1:8">
      <c r="A104" s="362">
        <v>101</v>
      </c>
      <c r="B104" s="363" t="s">
        <v>424</v>
      </c>
      <c r="C104" s="364">
        <v>473.74</v>
      </c>
      <c r="D104" s="364">
        <v>86.74</v>
      </c>
      <c r="E104" s="364">
        <v>387</v>
      </c>
      <c r="F104" s="365">
        <v>34310.839999999997</v>
      </c>
      <c r="G104" s="362"/>
      <c r="H104" s="362"/>
    </row>
    <row r="105" spans="1:8">
      <c r="A105" s="362">
        <v>102</v>
      </c>
      <c r="B105" s="363" t="s">
        <v>425</v>
      </c>
      <c r="C105" s="364">
        <v>473.74</v>
      </c>
      <c r="D105" s="364">
        <v>85.78</v>
      </c>
      <c r="E105" s="364">
        <v>387.96</v>
      </c>
      <c r="F105" s="365">
        <v>33922.879999999997</v>
      </c>
      <c r="G105" s="362"/>
      <c r="H105" s="362"/>
    </row>
    <row r="106" spans="1:8">
      <c r="A106" s="362">
        <v>103</v>
      </c>
      <c r="B106" s="363" t="s">
        <v>426</v>
      </c>
      <c r="C106" s="364">
        <v>473.74</v>
      </c>
      <c r="D106" s="364">
        <v>84.81</v>
      </c>
      <c r="E106" s="364">
        <v>388.93</v>
      </c>
      <c r="F106" s="365">
        <v>33533.949999999997</v>
      </c>
      <c r="G106" s="362"/>
      <c r="H106" s="362"/>
    </row>
    <row r="107" spans="1:8">
      <c r="A107" s="362">
        <v>104</v>
      </c>
      <c r="B107" s="363" t="s">
        <v>427</v>
      </c>
      <c r="C107" s="364">
        <v>473.74</v>
      </c>
      <c r="D107" s="364">
        <v>83.83</v>
      </c>
      <c r="E107" s="364">
        <v>389.91</v>
      </c>
      <c r="F107" s="365">
        <v>33144.04</v>
      </c>
      <c r="G107" s="362"/>
      <c r="H107" s="362"/>
    </row>
    <row r="108" spans="1:8">
      <c r="A108" s="362">
        <v>105</v>
      </c>
      <c r="B108" s="363" t="s">
        <v>428</v>
      </c>
      <c r="C108" s="364">
        <v>473.74</v>
      </c>
      <c r="D108" s="364">
        <v>82.86</v>
      </c>
      <c r="E108" s="364">
        <v>390.88</v>
      </c>
      <c r="F108" s="365">
        <v>32753.16</v>
      </c>
      <c r="G108" s="362"/>
      <c r="H108" s="362"/>
    </row>
    <row r="109" spans="1:8">
      <c r="A109" s="362">
        <v>106</v>
      </c>
      <c r="B109" s="363" t="s">
        <v>429</v>
      </c>
      <c r="C109" s="364">
        <v>473.74</v>
      </c>
      <c r="D109" s="364">
        <v>81.88</v>
      </c>
      <c r="E109" s="364">
        <v>391.86</v>
      </c>
      <c r="F109" s="365">
        <v>32361.3</v>
      </c>
      <c r="G109" s="362"/>
      <c r="H109" s="362"/>
    </row>
    <row r="110" spans="1:8">
      <c r="A110" s="362">
        <v>107</v>
      </c>
      <c r="B110" s="363" t="s">
        <v>430</v>
      </c>
      <c r="C110" s="364">
        <v>473.74</v>
      </c>
      <c r="D110" s="364">
        <v>80.900000000000006</v>
      </c>
      <c r="E110" s="364">
        <v>392.84</v>
      </c>
      <c r="F110" s="365">
        <v>31968.46</v>
      </c>
      <c r="G110" s="362"/>
      <c r="H110" s="362"/>
    </row>
    <row r="111" spans="1:8">
      <c r="A111" s="362">
        <v>108</v>
      </c>
      <c r="B111" s="363" t="s">
        <v>431</v>
      </c>
      <c r="C111" s="364">
        <v>473.74</v>
      </c>
      <c r="D111" s="364">
        <v>79.92</v>
      </c>
      <c r="E111" s="364">
        <v>393.82</v>
      </c>
      <c r="F111" s="365">
        <v>31574.639999999999</v>
      </c>
      <c r="G111" s="362">
        <f>SUM(D107:D118)</f>
        <v>941.14000000000021</v>
      </c>
      <c r="H111" s="362"/>
    </row>
    <row r="112" spans="1:8">
      <c r="A112" s="362">
        <v>109</v>
      </c>
      <c r="B112" s="363" t="s">
        <v>432</v>
      </c>
      <c r="C112" s="364">
        <v>473.74</v>
      </c>
      <c r="D112" s="364">
        <v>78.94</v>
      </c>
      <c r="E112" s="364">
        <v>394.8</v>
      </c>
      <c r="F112" s="365">
        <v>31179.84</v>
      </c>
      <c r="G112" s="362"/>
      <c r="H112" s="362"/>
    </row>
    <row r="113" spans="1:8">
      <c r="A113" s="362">
        <v>110</v>
      </c>
      <c r="B113" s="363" t="s">
        <v>433</v>
      </c>
      <c r="C113" s="364">
        <v>473.74</v>
      </c>
      <c r="D113" s="364">
        <v>77.95</v>
      </c>
      <c r="E113" s="364">
        <v>395.79</v>
      </c>
      <c r="F113" s="365">
        <v>30784.05</v>
      </c>
      <c r="G113" s="362"/>
      <c r="H113" s="362"/>
    </row>
    <row r="114" spans="1:8">
      <c r="A114" s="362">
        <v>111</v>
      </c>
      <c r="B114" s="363" t="s">
        <v>434</v>
      </c>
      <c r="C114" s="364">
        <v>473.74</v>
      </c>
      <c r="D114" s="364">
        <v>76.959999999999994</v>
      </c>
      <c r="E114" s="364">
        <v>396.78</v>
      </c>
      <c r="F114" s="365">
        <v>30387.27</v>
      </c>
      <c r="G114" s="362"/>
      <c r="H114" s="362"/>
    </row>
    <row r="115" spans="1:8">
      <c r="A115" s="362">
        <v>112</v>
      </c>
      <c r="B115" s="363" t="s">
        <v>435</v>
      </c>
      <c r="C115" s="364">
        <v>473.74</v>
      </c>
      <c r="D115" s="364">
        <v>75.97</v>
      </c>
      <c r="E115" s="364">
        <v>397.77</v>
      </c>
      <c r="F115" s="365">
        <v>29989.5</v>
      </c>
      <c r="G115" s="362"/>
      <c r="H115" s="362"/>
    </row>
    <row r="116" spans="1:8">
      <c r="A116" s="362">
        <v>113</v>
      </c>
      <c r="B116" s="363" t="s">
        <v>436</v>
      </c>
      <c r="C116" s="364">
        <v>473.74</v>
      </c>
      <c r="D116" s="364">
        <v>74.97</v>
      </c>
      <c r="E116" s="364">
        <v>398.77</v>
      </c>
      <c r="F116" s="365">
        <v>29590.73</v>
      </c>
      <c r="G116" s="362"/>
      <c r="H116" s="362"/>
    </row>
    <row r="117" spans="1:8">
      <c r="A117" s="362">
        <v>114</v>
      </c>
      <c r="B117" s="363" t="s">
        <v>437</v>
      </c>
      <c r="C117" s="364">
        <v>473.74</v>
      </c>
      <c r="D117" s="364">
        <v>73.98</v>
      </c>
      <c r="E117" s="364">
        <v>399.76</v>
      </c>
      <c r="F117" s="365">
        <v>29190.97</v>
      </c>
      <c r="G117" s="362"/>
      <c r="H117" s="362"/>
    </row>
    <row r="118" spans="1:8">
      <c r="A118" s="362">
        <v>115</v>
      </c>
      <c r="B118" s="363" t="s">
        <v>438</v>
      </c>
      <c r="C118" s="364">
        <v>473.74</v>
      </c>
      <c r="D118" s="364">
        <v>72.98</v>
      </c>
      <c r="E118" s="364">
        <v>400.76</v>
      </c>
      <c r="F118" s="365">
        <v>28790.21</v>
      </c>
      <c r="G118" s="362"/>
      <c r="H118" s="362"/>
    </row>
    <row r="119" spans="1:8">
      <c r="A119" s="362">
        <v>116</v>
      </c>
      <c r="B119" s="363" t="s">
        <v>439</v>
      </c>
      <c r="C119" s="364">
        <v>473.74</v>
      </c>
      <c r="D119" s="364">
        <v>71.98</v>
      </c>
      <c r="E119" s="364">
        <v>401.76</v>
      </c>
      <c r="F119" s="365">
        <v>28388.45</v>
      </c>
      <c r="G119" s="362"/>
      <c r="H119" s="362"/>
    </row>
    <row r="120" spans="1:8">
      <c r="A120" s="362">
        <v>117</v>
      </c>
      <c r="B120" s="363" t="s">
        <v>440</v>
      </c>
      <c r="C120" s="364">
        <v>473.74</v>
      </c>
      <c r="D120" s="364">
        <v>70.97</v>
      </c>
      <c r="E120" s="364">
        <v>402.77</v>
      </c>
      <c r="F120" s="365">
        <v>27985.68</v>
      </c>
      <c r="G120" s="362"/>
      <c r="H120" s="362"/>
    </row>
    <row r="121" spans="1:8">
      <c r="A121" s="362">
        <v>118</v>
      </c>
      <c r="B121" s="363" t="s">
        <v>441</v>
      </c>
      <c r="C121" s="364">
        <v>473.74</v>
      </c>
      <c r="D121" s="364">
        <v>69.959999999999994</v>
      </c>
      <c r="E121" s="364">
        <v>403.78</v>
      </c>
      <c r="F121" s="365">
        <v>27581.9</v>
      </c>
      <c r="G121" s="362"/>
      <c r="H121" s="362"/>
    </row>
    <row r="122" spans="1:8">
      <c r="A122" s="362">
        <v>119</v>
      </c>
      <c r="B122" s="363" t="s">
        <v>442</v>
      </c>
      <c r="C122" s="364">
        <v>473.74</v>
      </c>
      <c r="D122" s="364">
        <v>68.95</v>
      </c>
      <c r="E122" s="364">
        <v>404.79</v>
      </c>
      <c r="F122" s="365">
        <v>27177.11</v>
      </c>
      <c r="G122" s="362"/>
      <c r="H122" s="362"/>
    </row>
    <row r="123" spans="1:8">
      <c r="A123" s="362">
        <v>120</v>
      </c>
      <c r="B123" s="363" t="s">
        <v>443</v>
      </c>
      <c r="C123" s="364">
        <v>473.74</v>
      </c>
      <c r="D123" s="364">
        <v>67.94</v>
      </c>
      <c r="E123" s="364">
        <v>405.8</v>
      </c>
      <c r="F123" s="365">
        <v>26771.31</v>
      </c>
      <c r="G123" s="362">
        <f>SUM(D119:D130)</f>
        <v>796.85</v>
      </c>
      <c r="H123" s="362"/>
    </row>
    <row r="124" spans="1:8">
      <c r="A124" s="362">
        <v>121</v>
      </c>
      <c r="B124" s="363" t="s">
        <v>444</v>
      </c>
      <c r="C124" s="364">
        <v>473.74</v>
      </c>
      <c r="D124" s="364">
        <v>66.930000000000007</v>
      </c>
      <c r="E124" s="364">
        <v>406.81</v>
      </c>
      <c r="F124" s="365">
        <v>26364.5</v>
      </c>
      <c r="G124" s="362"/>
      <c r="H124" s="362"/>
    </row>
    <row r="125" spans="1:8">
      <c r="A125" s="362">
        <v>122</v>
      </c>
      <c r="B125" s="363" t="s">
        <v>445</v>
      </c>
      <c r="C125" s="364">
        <v>473.74</v>
      </c>
      <c r="D125" s="364">
        <v>65.91</v>
      </c>
      <c r="E125" s="364">
        <v>407.83</v>
      </c>
      <c r="F125" s="365">
        <v>25956.67</v>
      </c>
      <c r="G125" s="362"/>
      <c r="H125" s="362"/>
    </row>
    <row r="126" spans="1:8">
      <c r="A126" s="362">
        <v>123</v>
      </c>
      <c r="B126" s="363" t="s">
        <v>446</v>
      </c>
      <c r="C126" s="364">
        <v>473.74</v>
      </c>
      <c r="D126" s="364">
        <v>64.89</v>
      </c>
      <c r="E126" s="364">
        <v>408.85</v>
      </c>
      <c r="F126" s="365">
        <v>25547.82</v>
      </c>
      <c r="G126" s="362"/>
      <c r="H126" s="362"/>
    </row>
    <row r="127" spans="1:8">
      <c r="A127" s="362">
        <v>124</v>
      </c>
      <c r="B127" s="363" t="s">
        <v>447</v>
      </c>
      <c r="C127" s="364">
        <v>473.74</v>
      </c>
      <c r="D127" s="364">
        <v>63.87</v>
      </c>
      <c r="E127" s="364">
        <v>409.87</v>
      </c>
      <c r="F127" s="365">
        <v>25137.95</v>
      </c>
      <c r="G127" s="362"/>
      <c r="H127" s="362"/>
    </row>
    <row r="128" spans="1:8">
      <c r="A128" s="362">
        <v>125</v>
      </c>
      <c r="B128" s="363" t="s">
        <v>448</v>
      </c>
      <c r="C128" s="364">
        <v>473.74</v>
      </c>
      <c r="D128" s="364">
        <v>62.84</v>
      </c>
      <c r="E128" s="364">
        <v>410.9</v>
      </c>
      <c r="F128" s="365">
        <v>24727.05</v>
      </c>
      <c r="G128" s="362"/>
      <c r="H128" s="362"/>
    </row>
    <row r="129" spans="1:8">
      <c r="A129" s="362">
        <v>126</v>
      </c>
      <c r="B129" s="363" t="s">
        <v>449</v>
      </c>
      <c r="C129" s="364">
        <v>473.74</v>
      </c>
      <c r="D129" s="364">
        <v>61.82</v>
      </c>
      <c r="E129" s="364">
        <v>411.92</v>
      </c>
      <c r="F129" s="365">
        <v>24315.13</v>
      </c>
      <c r="G129" s="362"/>
      <c r="H129" s="362"/>
    </row>
    <row r="130" spans="1:8">
      <c r="A130" s="362">
        <v>127</v>
      </c>
      <c r="B130" s="363" t="s">
        <v>450</v>
      </c>
      <c r="C130" s="364">
        <v>473.74</v>
      </c>
      <c r="D130" s="364">
        <v>60.79</v>
      </c>
      <c r="E130" s="364">
        <v>412.95</v>
      </c>
      <c r="F130" s="365">
        <v>23902.18</v>
      </c>
      <c r="G130" s="362"/>
      <c r="H130" s="362"/>
    </row>
    <row r="131" spans="1:8">
      <c r="A131" s="362">
        <v>128</v>
      </c>
      <c r="B131" s="363" t="s">
        <v>451</v>
      </c>
      <c r="C131" s="364">
        <v>473.74</v>
      </c>
      <c r="D131" s="364">
        <v>59.76</v>
      </c>
      <c r="E131" s="364">
        <v>413.98</v>
      </c>
      <c r="F131" s="365">
        <v>23488.2</v>
      </c>
      <c r="G131" s="362"/>
      <c r="H131" s="362"/>
    </row>
    <row r="132" spans="1:8">
      <c r="A132" s="362">
        <v>129</v>
      </c>
      <c r="B132" s="363" t="s">
        <v>452</v>
      </c>
      <c r="C132" s="364">
        <v>473.74</v>
      </c>
      <c r="D132" s="364">
        <v>58.72</v>
      </c>
      <c r="E132" s="364">
        <v>415.02</v>
      </c>
      <c r="F132" s="365">
        <v>23073.18</v>
      </c>
      <c r="G132" s="362"/>
      <c r="H132" s="362"/>
    </row>
    <row r="133" spans="1:8">
      <c r="A133" s="362">
        <v>130</v>
      </c>
      <c r="B133" s="363" t="s">
        <v>453</v>
      </c>
      <c r="C133" s="364">
        <v>473.74</v>
      </c>
      <c r="D133" s="364">
        <v>57.68</v>
      </c>
      <c r="E133" s="364">
        <v>416.06</v>
      </c>
      <c r="F133" s="365">
        <v>22657.119999999999</v>
      </c>
      <c r="G133" s="362"/>
      <c r="H133" s="362"/>
    </row>
    <row r="134" spans="1:8">
      <c r="A134" s="362">
        <v>131</v>
      </c>
      <c r="B134" s="363" t="s">
        <v>454</v>
      </c>
      <c r="C134" s="364">
        <v>473.74</v>
      </c>
      <c r="D134" s="364">
        <v>56.64</v>
      </c>
      <c r="E134" s="364">
        <v>417.1</v>
      </c>
      <c r="F134" s="365">
        <v>22240.02</v>
      </c>
      <c r="G134" s="362"/>
      <c r="H134" s="362"/>
    </row>
    <row r="135" spans="1:8">
      <c r="A135" s="362">
        <v>132</v>
      </c>
      <c r="B135" s="363" t="s">
        <v>455</v>
      </c>
      <c r="C135" s="364">
        <v>473.74</v>
      </c>
      <c r="D135" s="364">
        <v>55.6</v>
      </c>
      <c r="E135" s="364">
        <v>418.14</v>
      </c>
      <c r="F135" s="365">
        <v>21821.88</v>
      </c>
      <c r="G135" s="362">
        <f>SUM(D131:D142)</f>
        <v>648.18999999999994</v>
      </c>
      <c r="H135" s="362"/>
    </row>
    <row r="136" spans="1:8">
      <c r="A136" s="362">
        <v>133</v>
      </c>
      <c r="B136" s="363" t="s">
        <v>456</v>
      </c>
      <c r="C136" s="364">
        <v>473.74</v>
      </c>
      <c r="D136" s="364">
        <v>54.55</v>
      </c>
      <c r="E136" s="364">
        <v>419.19</v>
      </c>
      <c r="F136" s="365">
        <v>21402.69</v>
      </c>
      <c r="G136" s="362"/>
      <c r="H136" s="362"/>
    </row>
    <row r="137" spans="1:8">
      <c r="A137" s="362">
        <v>134</v>
      </c>
      <c r="B137" s="363" t="s">
        <v>457</v>
      </c>
      <c r="C137" s="364">
        <v>473.74</v>
      </c>
      <c r="D137" s="364">
        <v>53.51</v>
      </c>
      <c r="E137" s="364">
        <v>420.23</v>
      </c>
      <c r="F137" s="365">
        <v>20982.46</v>
      </c>
      <c r="G137" s="362"/>
      <c r="H137" s="362"/>
    </row>
    <row r="138" spans="1:8">
      <c r="A138" s="362">
        <v>135</v>
      </c>
      <c r="B138" s="363" t="s">
        <v>458</v>
      </c>
      <c r="C138" s="364">
        <v>473.74</v>
      </c>
      <c r="D138" s="364">
        <v>52.46</v>
      </c>
      <c r="E138" s="364">
        <v>421.28</v>
      </c>
      <c r="F138" s="365">
        <v>20561.18</v>
      </c>
      <c r="G138" s="362"/>
      <c r="H138" s="362"/>
    </row>
    <row r="139" spans="1:8">
      <c r="A139" s="362">
        <v>136</v>
      </c>
      <c r="B139" s="363" t="s">
        <v>459</v>
      </c>
      <c r="C139" s="364">
        <v>473.74</v>
      </c>
      <c r="D139" s="364">
        <v>51.4</v>
      </c>
      <c r="E139" s="364">
        <v>422.34</v>
      </c>
      <c r="F139" s="365">
        <v>20138.84</v>
      </c>
      <c r="G139" s="362"/>
      <c r="H139" s="362"/>
    </row>
    <row r="140" spans="1:8">
      <c r="A140" s="362">
        <v>137</v>
      </c>
      <c r="B140" s="363" t="s">
        <v>460</v>
      </c>
      <c r="C140" s="364">
        <v>473.74</v>
      </c>
      <c r="D140" s="364">
        <v>50.35</v>
      </c>
      <c r="E140" s="364">
        <v>423.39</v>
      </c>
      <c r="F140" s="365">
        <v>19715.45</v>
      </c>
      <c r="G140" s="362"/>
      <c r="H140" s="362"/>
    </row>
    <row r="141" spans="1:8">
      <c r="A141" s="362">
        <v>138</v>
      </c>
      <c r="B141" s="363" t="s">
        <v>461</v>
      </c>
      <c r="C141" s="364">
        <v>473.74</v>
      </c>
      <c r="D141" s="364">
        <v>49.29</v>
      </c>
      <c r="E141" s="364">
        <v>424.45</v>
      </c>
      <c r="F141" s="365">
        <v>19291</v>
      </c>
      <c r="G141" s="362"/>
      <c r="H141" s="362"/>
    </row>
    <row r="142" spans="1:8">
      <c r="A142" s="362">
        <v>139</v>
      </c>
      <c r="B142" s="363" t="s">
        <v>462</v>
      </c>
      <c r="C142" s="364">
        <v>473.74</v>
      </c>
      <c r="D142" s="364">
        <v>48.23</v>
      </c>
      <c r="E142" s="364">
        <v>425.51</v>
      </c>
      <c r="F142" s="365">
        <v>18865.490000000002</v>
      </c>
      <c r="G142" s="362"/>
      <c r="H142" s="362"/>
    </row>
    <row r="143" spans="1:8">
      <c r="A143" s="362">
        <v>140</v>
      </c>
      <c r="B143" s="363" t="s">
        <v>463</v>
      </c>
      <c r="C143" s="364">
        <v>473.74</v>
      </c>
      <c r="D143" s="364">
        <v>47.16</v>
      </c>
      <c r="E143" s="364">
        <v>426.58</v>
      </c>
      <c r="F143" s="365">
        <v>18438.91</v>
      </c>
      <c r="G143" s="362"/>
      <c r="H143" s="362"/>
    </row>
    <row r="144" spans="1:8">
      <c r="A144" s="362">
        <v>141</v>
      </c>
      <c r="B144" s="363" t="s">
        <v>464</v>
      </c>
      <c r="C144" s="364">
        <v>473.74</v>
      </c>
      <c r="D144" s="364">
        <v>46.1</v>
      </c>
      <c r="E144" s="364">
        <v>427.64</v>
      </c>
      <c r="F144" s="365">
        <v>18011.27</v>
      </c>
      <c r="G144" s="362"/>
      <c r="H144" s="362"/>
    </row>
    <row r="145" spans="1:8">
      <c r="A145" s="362">
        <v>142</v>
      </c>
      <c r="B145" s="363" t="s">
        <v>465</v>
      </c>
      <c r="C145" s="364">
        <v>473.74</v>
      </c>
      <c r="D145" s="364">
        <v>45.03</v>
      </c>
      <c r="E145" s="364">
        <v>428.71</v>
      </c>
      <c r="F145" s="365">
        <v>17582.560000000001</v>
      </c>
      <c r="G145" s="362"/>
      <c r="H145" s="362"/>
    </row>
    <row r="146" spans="1:8">
      <c r="A146" s="362">
        <v>143</v>
      </c>
      <c r="B146" s="363" t="s">
        <v>466</v>
      </c>
      <c r="C146" s="364">
        <v>473.74</v>
      </c>
      <c r="D146" s="364">
        <v>43.96</v>
      </c>
      <c r="E146" s="364">
        <v>429.78</v>
      </c>
      <c r="F146" s="365">
        <v>17152.78</v>
      </c>
      <c r="G146" s="362"/>
      <c r="H146" s="362"/>
    </row>
    <row r="147" spans="1:8">
      <c r="A147" s="362">
        <v>144</v>
      </c>
      <c r="B147" s="363" t="s">
        <v>467</v>
      </c>
      <c r="C147" s="364">
        <v>473.74</v>
      </c>
      <c r="D147" s="364">
        <v>42.88</v>
      </c>
      <c r="E147" s="364">
        <v>430.86</v>
      </c>
      <c r="F147" s="365">
        <v>16721.919999999998</v>
      </c>
      <c r="G147" s="362">
        <f>SUM(D143:D154)</f>
        <v>494.98999999999995</v>
      </c>
      <c r="H147" s="362"/>
    </row>
    <row r="148" spans="1:8">
      <c r="A148" s="362">
        <v>145</v>
      </c>
      <c r="B148" s="363" t="s">
        <v>468</v>
      </c>
      <c r="C148" s="364">
        <v>473.74</v>
      </c>
      <c r="D148" s="364">
        <v>41.8</v>
      </c>
      <c r="E148" s="364">
        <v>431.94</v>
      </c>
      <c r="F148" s="365">
        <v>16289.98</v>
      </c>
      <c r="G148" s="362"/>
      <c r="H148" s="362"/>
    </row>
    <row r="149" spans="1:8">
      <c r="A149" s="362">
        <v>146</v>
      </c>
      <c r="B149" s="363" t="s">
        <v>469</v>
      </c>
      <c r="C149" s="364">
        <v>473.74</v>
      </c>
      <c r="D149" s="364">
        <v>40.72</v>
      </c>
      <c r="E149" s="364">
        <v>433.02</v>
      </c>
      <c r="F149" s="365">
        <v>15856.96</v>
      </c>
      <c r="G149" s="362"/>
      <c r="H149" s="362"/>
    </row>
    <row r="150" spans="1:8">
      <c r="A150" s="362">
        <v>147</v>
      </c>
      <c r="B150" s="363" t="s">
        <v>470</v>
      </c>
      <c r="C150" s="364">
        <v>473.74</v>
      </c>
      <c r="D150" s="364">
        <v>39.64</v>
      </c>
      <c r="E150" s="364">
        <v>434.1</v>
      </c>
      <c r="F150" s="365">
        <v>15422.86</v>
      </c>
      <c r="G150" s="362"/>
      <c r="H150" s="362"/>
    </row>
    <row r="151" spans="1:8">
      <c r="A151" s="362">
        <v>148</v>
      </c>
      <c r="B151" s="363" t="s">
        <v>471</v>
      </c>
      <c r="C151" s="364">
        <v>473.74</v>
      </c>
      <c r="D151" s="364">
        <v>38.56</v>
      </c>
      <c r="E151" s="364">
        <v>435.18</v>
      </c>
      <c r="F151" s="365">
        <v>14987.68</v>
      </c>
      <c r="G151" s="362"/>
      <c r="H151" s="362"/>
    </row>
    <row r="152" spans="1:8">
      <c r="A152" s="362">
        <v>149</v>
      </c>
      <c r="B152" s="363" t="s">
        <v>472</v>
      </c>
      <c r="C152" s="364">
        <v>473.74</v>
      </c>
      <c r="D152" s="364">
        <v>37.47</v>
      </c>
      <c r="E152" s="364">
        <v>436.27</v>
      </c>
      <c r="F152" s="365">
        <v>14551.41</v>
      </c>
      <c r="G152" s="362"/>
      <c r="H152" s="362"/>
    </row>
    <row r="153" spans="1:8">
      <c r="A153" s="362">
        <v>150</v>
      </c>
      <c r="B153" s="363" t="s">
        <v>473</v>
      </c>
      <c r="C153" s="364">
        <v>473.74</v>
      </c>
      <c r="D153" s="364">
        <v>36.380000000000003</v>
      </c>
      <c r="E153" s="364">
        <v>437.36</v>
      </c>
      <c r="F153" s="365">
        <v>14114.05</v>
      </c>
      <c r="G153" s="362"/>
      <c r="H153" s="362"/>
    </row>
    <row r="154" spans="1:8">
      <c r="A154" s="362">
        <v>151</v>
      </c>
      <c r="B154" s="363" t="s">
        <v>474</v>
      </c>
      <c r="C154" s="364">
        <v>473.74</v>
      </c>
      <c r="D154" s="364">
        <v>35.29</v>
      </c>
      <c r="E154" s="364">
        <v>438.45</v>
      </c>
      <c r="F154" s="365">
        <v>13675.6</v>
      </c>
      <c r="G154" s="362"/>
      <c r="H154" s="362"/>
    </row>
    <row r="155" spans="1:8">
      <c r="A155" s="362">
        <v>152</v>
      </c>
      <c r="B155" s="363" t="s">
        <v>475</v>
      </c>
      <c r="C155" s="364">
        <v>473.74</v>
      </c>
      <c r="D155" s="364">
        <v>34.19</v>
      </c>
      <c r="E155" s="364">
        <v>439.55</v>
      </c>
      <c r="F155" s="365">
        <v>13236.05</v>
      </c>
      <c r="G155" s="362"/>
      <c r="H155" s="362"/>
    </row>
    <row r="156" spans="1:8">
      <c r="A156" s="362">
        <v>153</v>
      </c>
      <c r="B156" s="363" t="s">
        <v>476</v>
      </c>
      <c r="C156" s="364">
        <v>473.74</v>
      </c>
      <c r="D156" s="364">
        <v>33.090000000000003</v>
      </c>
      <c r="E156" s="364">
        <v>440.65</v>
      </c>
      <c r="F156" s="365">
        <v>12795.4</v>
      </c>
      <c r="G156" s="362"/>
      <c r="H156" s="362"/>
    </row>
    <row r="157" spans="1:8">
      <c r="A157" s="362">
        <v>154</v>
      </c>
      <c r="B157" s="363" t="s">
        <v>477</v>
      </c>
      <c r="C157" s="364">
        <v>473.74</v>
      </c>
      <c r="D157" s="364">
        <v>31.99</v>
      </c>
      <c r="E157" s="364">
        <v>441.75</v>
      </c>
      <c r="F157" s="365">
        <v>12353.65</v>
      </c>
      <c r="G157" s="362"/>
      <c r="H157" s="362"/>
    </row>
    <row r="158" spans="1:8">
      <c r="A158" s="362">
        <v>155</v>
      </c>
      <c r="B158" s="363" t="s">
        <v>478</v>
      </c>
      <c r="C158" s="364">
        <v>473.74</v>
      </c>
      <c r="D158" s="364">
        <v>30.88</v>
      </c>
      <c r="E158" s="364">
        <v>442.86</v>
      </c>
      <c r="F158" s="365">
        <v>11910.79</v>
      </c>
      <c r="G158" s="362"/>
      <c r="H158" s="362"/>
    </row>
    <row r="159" spans="1:8">
      <c r="A159" s="362">
        <v>156</v>
      </c>
      <c r="B159" s="363" t="s">
        <v>479</v>
      </c>
      <c r="C159" s="364">
        <v>473.74</v>
      </c>
      <c r="D159" s="364">
        <v>29.78</v>
      </c>
      <c r="E159" s="364">
        <v>443.96</v>
      </c>
      <c r="F159" s="365">
        <v>11466.83</v>
      </c>
      <c r="G159" s="362">
        <f>SUM(E160:E171)</f>
        <v>5414.93</v>
      </c>
      <c r="H159" s="362"/>
    </row>
    <row r="160" spans="1:8">
      <c r="A160" s="362">
        <v>157</v>
      </c>
      <c r="B160" s="363" t="s">
        <v>480</v>
      </c>
      <c r="C160" s="364">
        <v>473.74</v>
      </c>
      <c r="D160" s="364">
        <v>28.67</v>
      </c>
      <c r="E160" s="364">
        <v>445.07</v>
      </c>
      <c r="F160" s="365">
        <v>11021.76</v>
      </c>
      <c r="G160" s="362"/>
      <c r="H160" s="362"/>
    </row>
    <row r="161" spans="1:8">
      <c r="A161" s="362">
        <v>158</v>
      </c>
      <c r="B161" s="363" t="s">
        <v>481</v>
      </c>
      <c r="C161" s="364">
        <v>473.74</v>
      </c>
      <c r="D161" s="364">
        <v>27.55</v>
      </c>
      <c r="E161" s="364">
        <v>446.19</v>
      </c>
      <c r="F161" s="365">
        <v>10575.57</v>
      </c>
      <c r="G161" s="362"/>
      <c r="H161" s="362"/>
    </row>
    <row r="162" spans="1:8">
      <c r="A162" s="362">
        <v>159</v>
      </c>
      <c r="B162" s="363" t="s">
        <v>482</v>
      </c>
      <c r="C162" s="364">
        <v>473.74</v>
      </c>
      <c r="D162" s="364">
        <v>26.44</v>
      </c>
      <c r="E162" s="364">
        <v>447.3</v>
      </c>
      <c r="F162" s="365">
        <v>10128.27</v>
      </c>
      <c r="G162" s="362"/>
      <c r="H162" s="362"/>
    </row>
    <row r="163" spans="1:8">
      <c r="A163" s="362">
        <v>160</v>
      </c>
      <c r="B163" s="363" t="s">
        <v>483</v>
      </c>
      <c r="C163" s="364">
        <v>473.74</v>
      </c>
      <c r="D163" s="364">
        <v>25.32</v>
      </c>
      <c r="E163" s="364">
        <v>448.42</v>
      </c>
      <c r="F163" s="365">
        <v>9679.85</v>
      </c>
      <c r="G163" s="362"/>
      <c r="H163" s="362"/>
    </row>
    <row r="164" spans="1:8">
      <c r="A164" s="362">
        <v>161</v>
      </c>
      <c r="B164" s="363" t="s">
        <v>484</v>
      </c>
      <c r="C164" s="364">
        <v>473.74</v>
      </c>
      <c r="D164" s="364">
        <v>24.2</v>
      </c>
      <c r="E164" s="364">
        <v>449.54</v>
      </c>
      <c r="F164" s="365">
        <v>9230.31</v>
      </c>
      <c r="G164" s="362"/>
      <c r="H164" s="362"/>
    </row>
    <row r="165" spans="1:8">
      <c r="A165" s="362">
        <v>162</v>
      </c>
      <c r="B165" s="363" t="s">
        <v>485</v>
      </c>
      <c r="C165" s="364">
        <v>473.74</v>
      </c>
      <c r="D165" s="370" t="s">
        <v>486</v>
      </c>
      <c r="E165" s="364">
        <v>450.66</v>
      </c>
      <c r="F165" s="365">
        <v>8779.65</v>
      </c>
      <c r="G165" s="362"/>
      <c r="H165" s="362"/>
    </row>
    <row r="166" spans="1:8">
      <c r="A166" s="362">
        <v>163</v>
      </c>
      <c r="B166" s="363" t="s">
        <v>487</v>
      </c>
      <c r="C166" s="364">
        <v>473.74</v>
      </c>
      <c r="D166" s="364">
        <v>21.95</v>
      </c>
      <c r="E166" s="364">
        <v>451.79</v>
      </c>
      <c r="F166" s="365">
        <v>8327.86</v>
      </c>
      <c r="G166" s="362"/>
      <c r="H166" s="362"/>
    </row>
    <row r="167" spans="1:8">
      <c r="A167" s="362">
        <v>164</v>
      </c>
      <c r="B167" s="363" t="s">
        <v>488</v>
      </c>
      <c r="C167" s="364">
        <v>473.74</v>
      </c>
      <c r="D167" s="364">
        <v>20.82</v>
      </c>
      <c r="E167" s="364">
        <v>452.92</v>
      </c>
      <c r="F167" s="365">
        <v>7874.94</v>
      </c>
      <c r="G167" s="362"/>
      <c r="H167" s="362"/>
    </row>
    <row r="168" spans="1:8">
      <c r="A168" s="362">
        <v>165</v>
      </c>
      <c r="B168" s="363" t="s">
        <v>489</v>
      </c>
      <c r="C168" s="364">
        <v>473.74</v>
      </c>
      <c r="D168" s="364">
        <v>19.690000000000001</v>
      </c>
      <c r="E168" s="364">
        <v>454.05</v>
      </c>
      <c r="F168" s="365">
        <v>7420.89</v>
      </c>
      <c r="G168" s="362"/>
      <c r="H168" s="362"/>
    </row>
    <row r="169" spans="1:8">
      <c r="A169" s="362">
        <v>166</v>
      </c>
      <c r="B169" s="363" t="s">
        <v>490</v>
      </c>
      <c r="C169" s="364">
        <v>473.74</v>
      </c>
      <c r="D169" s="364">
        <v>18.55</v>
      </c>
      <c r="E169" s="364">
        <v>455.19</v>
      </c>
      <c r="F169" s="365">
        <v>6965.7</v>
      </c>
      <c r="G169" s="362"/>
      <c r="H169" s="362"/>
    </row>
    <row r="170" spans="1:8">
      <c r="A170" s="362">
        <v>167</v>
      </c>
      <c r="B170" s="363" t="s">
        <v>491</v>
      </c>
      <c r="C170" s="364">
        <v>473.74</v>
      </c>
      <c r="D170" s="364">
        <v>17.41</v>
      </c>
      <c r="E170" s="364">
        <v>456.33</v>
      </c>
      <c r="F170" s="365">
        <v>6509.37</v>
      </c>
      <c r="G170" s="362"/>
      <c r="H170" s="362"/>
    </row>
    <row r="171" spans="1:8">
      <c r="A171" s="362">
        <v>168</v>
      </c>
      <c r="B171" s="363" t="s">
        <v>492</v>
      </c>
      <c r="C171" s="364">
        <v>473.74</v>
      </c>
      <c r="D171" s="364">
        <v>16.27</v>
      </c>
      <c r="E171" s="364">
        <v>457.47</v>
      </c>
      <c r="F171" s="365">
        <v>6051.9</v>
      </c>
      <c r="G171" s="362">
        <f>SUM(E172:E183)</f>
        <v>5579.6299999999992</v>
      </c>
      <c r="H171" s="362"/>
    </row>
    <row r="172" spans="1:8">
      <c r="A172" s="362">
        <v>169</v>
      </c>
      <c r="B172" s="363" t="s">
        <v>493</v>
      </c>
      <c r="C172" s="364">
        <v>473.74</v>
      </c>
      <c r="D172" s="364">
        <v>15.13</v>
      </c>
      <c r="E172" s="364">
        <v>458.61</v>
      </c>
      <c r="F172" s="365">
        <v>5593.29</v>
      </c>
      <c r="G172" s="362"/>
      <c r="H172" s="362"/>
    </row>
    <row r="173" spans="1:8">
      <c r="A173" s="362">
        <v>170</v>
      </c>
      <c r="B173" s="363" t="s">
        <v>494</v>
      </c>
      <c r="C173" s="364">
        <v>473.74</v>
      </c>
      <c r="D173" s="364">
        <v>13.98</v>
      </c>
      <c r="E173" s="364">
        <v>459.76</v>
      </c>
      <c r="F173" s="365">
        <v>5133.53</v>
      </c>
      <c r="G173" s="362"/>
      <c r="H173" s="362"/>
    </row>
    <row r="174" spans="1:8">
      <c r="A174" s="362">
        <v>171</v>
      </c>
      <c r="B174" s="363" t="s">
        <v>495</v>
      </c>
      <c r="C174" s="364">
        <v>473.74</v>
      </c>
      <c r="D174" s="368" t="s">
        <v>496</v>
      </c>
      <c r="E174" s="364">
        <v>460.91</v>
      </c>
      <c r="F174" s="365">
        <v>4672.62</v>
      </c>
      <c r="G174" s="362"/>
      <c r="H174" s="362"/>
    </row>
    <row r="175" spans="1:8">
      <c r="A175" s="362">
        <v>172</v>
      </c>
      <c r="B175" s="363" t="s">
        <v>497</v>
      </c>
      <c r="C175" s="364">
        <v>473.74</v>
      </c>
      <c r="D175" s="368" t="s">
        <v>498</v>
      </c>
      <c r="E175" s="364">
        <v>462.06</v>
      </c>
      <c r="F175" s="365">
        <v>4210.5600000000004</v>
      </c>
      <c r="G175" s="362"/>
      <c r="H175" s="362"/>
    </row>
    <row r="176" spans="1:8">
      <c r="A176" s="362">
        <v>173</v>
      </c>
      <c r="B176" s="363" t="s">
        <v>499</v>
      </c>
      <c r="C176" s="364">
        <v>473.74</v>
      </c>
      <c r="D176" s="368" t="s">
        <v>500</v>
      </c>
      <c r="E176" s="364">
        <v>463.21</v>
      </c>
      <c r="F176" s="365">
        <v>3747.35</v>
      </c>
      <c r="G176" s="362"/>
      <c r="H176" s="362"/>
    </row>
    <row r="177" spans="1:8">
      <c r="A177" s="362">
        <v>174</v>
      </c>
      <c r="B177" s="363" t="s">
        <v>501</v>
      </c>
      <c r="C177" s="364">
        <v>473.74</v>
      </c>
      <c r="D177" s="368" t="s">
        <v>502</v>
      </c>
      <c r="E177" s="364">
        <v>464.37</v>
      </c>
      <c r="F177" s="365">
        <v>3282.98</v>
      </c>
      <c r="G177" s="362"/>
      <c r="H177" s="362"/>
    </row>
    <row r="178" spans="1:8">
      <c r="A178" s="362">
        <v>175</v>
      </c>
      <c r="B178" s="363" t="s">
        <v>503</v>
      </c>
      <c r="C178" s="364">
        <v>473.74</v>
      </c>
      <c r="D178" s="368" t="s">
        <v>326</v>
      </c>
      <c r="E178" s="364">
        <v>465.53</v>
      </c>
      <c r="F178" s="365">
        <v>2817.45</v>
      </c>
      <c r="G178" s="362"/>
      <c r="H178" s="362"/>
    </row>
    <row r="179" spans="1:8">
      <c r="A179" s="362">
        <v>176</v>
      </c>
      <c r="B179" s="363" t="s">
        <v>504</v>
      </c>
      <c r="C179" s="364">
        <v>473.74</v>
      </c>
      <c r="D179" s="370" t="s">
        <v>505</v>
      </c>
      <c r="E179" s="364">
        <v>466.7</v>
      </c>
      <c r="F179" s="365">
        <v>2350.75</v>
      </c>
      <c r="G179" s="362"/>
      <c r="H179" s="362"/>
    </row>
    <row r="180" spans="1:8">
      <c r="A180" s="362">
        <v>177</v>
      </c>
      <c r="B180" s="363" t="s">
        <v>506</v>
      </c>
      <c r="C180" s="364">
        <v>473.74</v>
      </c>
      <c r="D180" s="368" t="s">
        <v>507</v>
      </c>
      <c r="E180" s="364">
        <v>467.86</v>
      </c>
      <c r="F180" s="365">
        <v>1882.89</v>
      </c>
      <c r="G180" s="362"/>
      <c r="H180" s="362"/>
    </row>
    <row r="181" spans="1:8">
      <c r="A181" s="362">
        <v>178</v>
      </c>
      <c r="B181" s="363" t="s">
        <v>508</v>
      </c>
      <c r="C181" s="364">
        <v>473.74</v>
      </c>
      <c r="D181" s="368" t="s">
        <v>509</v>
      </c>
      <c r="E181" s="364">
        <v>469.03</v>
      </c>
      <c r="F181" s="365">
        <v>1413.86</v>
      </c>
      <c r="G181" s="362"/>
      <c r="H181" s="362"/>
    </row>
    <row r="182" spans="1:8">
      <c r="A182" s="362">
        <v>179</v>
      </c>
      <c r="B182" s="363" t="s">
        <v>510</v>
      </c>
      <c r="C182" s="364">
        <v>473.74</v>
      </c>
      <c r="D182" s="368" t="s">
        <v>511</v>
      </c>
      <c r="E182" s="364">
        <v>470.21</v>
      </c>
      <c r="F182" s="364">
        <v>943.65</v>
      </c>
      <c r="G182" s="362"/>
      <c r="H182" s="362"/>
    </row>
    <row r="183" spans="1:8">
      <c r="A183" s="362">
        <v>180</v>
      </c>
      <c r="B183" s="363" t="s">
        <v>512</v>
      </c>
      <c r="C183" s="364">
        <v>473.74</v>
      </c>
      <c r="D183" s="368" t="s">
        <v>513</v>
      </c>
      <c r="E183" s="364">
        <v>471.38</v>
      </c>
      <c r="F183" s="364">
        <v>472.27</v>
      </c>
    </row>
    <row r="184" spans="1:8">
      <c r="B184" s="363" t="s">
        <v>514</v>
      </c>
      <c r="C184" s="364">
        <v>473.45</v>
      </c>
      <c r="D184" s="368" t="s">
        <v>515</v>
      </c>
      <c r="E184" s="364">
        <v>472.27</v>
      </c>
      <c r="F184" s="364"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L25"/>
  <sheetViews>
    <sheetView tabSelected="1" zoomScale="85" zoomScaleNormal="85" zoomScalePageLayoutView="85" workbookViewId="0">
      <selection activeCell="C7" sqref="C7"/>
    </sheetView>
  </sheetViews>
  <sheetFormatPr baseColWidth="10" defaultColWidth="8.83203125" defaultRowHeight="15"/>
  <cols>
    <col min="1" max="1" width="61" customWidth="1"/>
    <col min="2" max="2" width="15.1640625" customWidth="1"/>
    <col min="3" max="3" width="19.6640625" customWidth="1"/>
    <col min="4" max="4" width="20" customWidth="1"/>
    <col min="5" max="5" width="15.5" bestFit="1" customWidth="1"/>
    <col min="6" max="11" width="14.1640625" bestFit="1" customWidth="1"/>
    <col min="12" max="14" width="15.5" bestFit="1" customWidth="1"/>
    <col min="15" max="16" width="14.33203125" bestFit="1" customWidth="1"/>
    <col min="17" max="17" width="13.6640625" bestFit="1" customWidth="1"/>
    <col min="18" max="20" width="14.83203125" bestFit="1" customWidth="1"/>
    <col min="21" max="22" width="15" bestFit="1" customWidth="1"/>
    <col min="23" max="27" width="12.5" bestFit="1" customWidth="1"/>
    <col min="28" max="28" width="9.33203125" bestFit="1" customWidth="1"/>
    <col min="29" max="34" width="12.5" bestFit="1" customWidth="1"/>
    <col min="35" max="40" width="13.6640625" bestFit="1" customWidth="1"/>
    <col min="41" max="41" width="5.1640625" bestFit="1" customWidth="1"/>
    <col min="42" max="45" width="12.5" bestFit="1" customWidth="1"/>
    <col min="46" max="53" width="13.6640625" bestFit="1" customWidth="1"/>
    <col min="54" max="54" width="5.1640625" bestFit="1" customWidth="1"/>
    <col min="55" max="58" width="12.5" bestFit="1" customWidth="1"/>
    <col min="59" max="66" width="13.6640625" bestFit="1" customWidth="1"/>
  </cols>
  <sheetData>
    <row r="1" spans="1:6" ht="16">
      <c r="A1" s="9" t="s">
        <v>3</v>
      </c>
    </row>
    <row r="2" spans="1:6" ht="18" thickBot="1">
      <c r="A2" s="2" t="s">
        <v>165</v>
      </c>
    </row>
    <row r="3" spans="1:6" ht="36" thickTop="1" thickBot="1">
      <c r="A3" s="7" t="s">
        <v>4</v>
      </c>
      <c r="B3" s="6" t="s">
        <v>5</v>
      </c>
      <c r="C3" s="6" t="s">
        <v>6</v>
      </c>
      <c r="F3" s="121">
        <v>0.13</v>
      </c>
    </row>
    <row r="4" spans="1:6" ht="19" thickTop="1" thickBot="1">
      <c r="A4" s="8" t="s">
        <v>7</v>
      </c>
      <c r="B4" s="5" t="s">
        <v>2</v>
      </c>
      <c r="C4" s="27">
        <f>'Отчет о движении денежных средс'!B31</f>
        <v>0.13</v>
      </c>
      <c r="F4" s="121">
        <v>49</v>
      </c>
    </row>
    <row r="5" spans="1:6" ht="19" thickTop="1" thickBot="1">
      <c r="A5" s="8" t="s">
        <v>8</v>
      </c>
      <c r="B5" s="5" t="s">
        <v>9</v>
      </c>
      <c r="C5" s="5">
        <f>'Отчет о движении денежных средс'!B27</f>
        <v>62</v>
      </c>
      <c r="F5" s="121">
        <v>73</v>
      </c>
    </row>
    <row r="6" spans="1:6" ht="19" thickTop="1" thickBot="1">
      <c r="A6" s="8" t="s">
        <v>10</v>
      </c>
      <c r="B6" s="5" t="s">
        <v>9</v>
      </c>
      <c r="C6" s="5">
        <f>'Отчет о движении денежных средс'!B32</f>
        <v>85</v>
      </c>
      <c r="D6" t="s">
        <v>51</v>
      </c>
      <c r="F6" s="121">
        <v>34176.426565652153</v>
      </c>
    </row>
    <row r="7" spans="1:6" ht="19" thickTop="1" thickBot="1">
      <c r="A7" s="8" t="s">
        <v>11</v>
      </c>
      <c r="B7" s="5" t="s">
        <v>56</v>
      </c>
      <c r="C7" s="22">
        <f>'Отчет о движении денежных средс'!B33</f>
        <v>33248.127680204125</v>
      </c>
      <c r="D7" t="s">
        <v>49</v>
      </c>
      <c r="F7" s="121">
        <v>0.27153482213017943</v>
      </c>
    </row>
    <row r="8" spans="1:6" ht="19" thickTop="1" thickBot="1">
      <c r="A8" s="8" t="s">
        <v>12</v>
      </c>
      <c r="B8" s="5" t="s">
        <v>2</v>
      </c>
      <c r="C8" s="17">
        <f>'Отчет о движении денежных средс'!B34</f>
        <v>0.17850707718786318</v>
      </c>
      <c r="E8" s="13"/>
      <c r="F8" s="121">
        <v>1.8591514619081131</v>
      </c>
    </row>
    <row r="9" spans="1:6" ht="19" thickTop="1" thickBot="1">
      <c r="A9" s="8" t="s">
        <v>13</v>
      </c>
      <c r="B9" s="5"/>
      <c r="C9" s="261">
        <f>(C7+C10)/C10</f>
        <v>1.3392666089816745</v>
      </c>
      <c r="D9" t="s">
        <v>53</v>
      </c>
      <c r="F9" s="121">
        <v>39779.279999999999</v>
      </c>
    </row>
    <row r="10" spans="1:6" ht="19" thickTop="1" thickBot="1">
      <c r="A10" s="8" t="s">
        <v>14</v>
      </c>
      <c r="B10" s="5" t="s">
        <v>110</v>
      </c>
      <c r="C10" s="22">
        <f>-B18</f>
        <v>98000</v>
      </c>
      <c r="F10" s="121">
        <v>39779.279999999999</v>
      </c>
    </row>
    <row r="11" spans="1:6" ht="19" thickTop="1" thickBot="1">
      <c r="A11" s="8" t="s">
        <v>15</v>
      </c>
      <c r="B11" s="5" t="s">
        <v>56</v>
      </c>
      <c r="C11" s="22">
        <f>C10</f>
        <v>98000</v>
      </c>
      <c r="F11" s="121">
        <v>0.39454309050251646</v>
      </c>
    </row>
    <row r="12" spans="1:6" s="24" customFormat="1" ht="19" thickTop="1" thickBot="1">
      <c r="A12" s="250" t="s">
        <v>217</v>
      </c>
      <c r="B12" s="251" t="s">
        <v>2</v>
      </c>
      <c r="C12" s="252">
        <f>'Отчет о движении денежных средс'!B42</f>
        <v>0.13392666089816749</v>
      </c>
      <c r="F12" s="121">
        <v>0.20229189864287611</v>
      </c>
    </row>
    <row r="13" spans="1:6" s="24" customFormat="1" ht="19" thickTop="1" thickBot="1">
      <c r="A13" s="253" t="s">
        <v>218</v>
      </c>
      <c r="B13" s="254" t="s">
        <v>2</v>
      </c>
      <c r="C13" s="255">
        <f>'Отчет о движении денежных средс'!B43</f>
        <v>0.16000203234313792</v>
      </c>
    </row>
    <row r="14" spans="1:6" ht="17" thickTop="1">
      <c r="A14" s="9"/>
      <c r="C14" s="15"/>
    </row>
    <row r="15" spans="1:6" ht="16">
      <c r="A15" s="9" t="s">
        <v>16</v>
      </c>
    </row>
    <row r="16" spans="1:6" ht="17" thickBot="1">
      <c r="A16" s="2"/>
    </row>
    <row r="17" spans="1:12" ht="17" thickBot="1">
      <c r="A17" s="144"/>
      <c r="B17" s="14">
        <v>0</v>
      </c>
      <c r="C17" s="145" t="s">
        <v>190</v>
      </c>
      <c r="D17" s="145" t="s">
        <v>69</v>
      </c>
      <c r="E17" s="145" t="s">
        <v>191</v>
      </c>
      <c r="F17" s="145" t="s">
        <v>192</v>
      </c>
      <c r="G17" s="145" t="s">
        <v>204</v>
      </c>
      <c r="H17" s="145" t="s">
        <v>169</v>
      </c>
      <c r="I17" s="145" t="s">
        <v>170</v>
      </c>
      <c r="J17" s="145" t="s">
        <v>193</v>
      </c>
      <c r="K17" s="145" t="s">
        <v>171</v>
      </c>
      <c r="L17" s="145" t="s">
        <v>172</v>
      </c>
    </row>
    <row r="18" spans="1:12" s="15" customFormat="1" ht="17">
      <c r="A18" s="18" t="s">
        <v>48</v>
      </c>
      <c r="B18" s="15">
        <f>'Отчет о движении денежных средс'!B39</f>
        <v>-98000</v>
      </c>
      <c r="C18" s="20">
        <f>'Отчет о движении денежных средс'!C39</f>
        <v>-27007.956460176993</v>
      </c>
      <c r="D18" s="20">
        <f>'Отчет о движении денежных средс'!D39</f>
        <v>3032.3643468243445</v>
      </c>
      <c r="E18" s="20">
        <f>'Отчет о движении денежных средс'!E39</f>
        <v>17368.497053217605</v>
      </c>
      <c r="F18" s="20">
        <f>'Отчет о движении денежных средс'!F39</f>
        <v>22868.108664328851</v>
      </c>
      <c r="G18" s="20">
        <f>'Отчет о движении денежных средс'!G39</f>
        <v>27446.040007024734</v>
      </c>
      <c r="H18" s="20">
        <f>'Отчет о движении денежных средс'!H39</f>
        <v>24721.01919914192</v>
      </c>
      <c r="I18" s="20">
        <f>'Отчет о движении денежных средс'!I39</f>
        <v>22683.016677170781</v>
      </c>
      <c r="J18" s="20">
        <f>'Отчет о движении денежных средс'!J39</f>
        <v>20970.481483915904</v>
      </c>
      <c r="K18" s="20">
        <f>'Отчет о движении денежных средс'!K39</f>
        <v>19166.556708756973</v>
      </c>
      <c r="L18" s="20">
        <f>'Отчет о движении денежных средс'!L39</f>
        <v>0</v>
      </c>
    </row>
    <row r="19" spans="1:12">
      <c r="A19" t="s">
        <v>50</v>
      </c>
    </row>
    <row r="20" spans="1:12">
      <c r="C20" s="24">
        <v>2020</v>
      </c>
      <c r="D20" s="24">
        <v>2021</v>
      </c>
      <c r="E20" s="24">
        <v>2022</v>
      </c>
      <c r="F20" s="24">
        <v>2023</v>
      </c>
      <c r="G20" s="24">
        <v>2024</v>
      </c>
      <c r="H20" s="24">
        <v>2025</v>
      </c>
      <c r="I20" s="24">
        <v>2026</v>
      </c>
      <c r="J20" s="24">
        <v>2027</v>
      </c>
      <c r="K20" s="24">
        <v>2028</v>
      </c>
      <c r="L20" s="24">
        <v>2029</v>
      </c>
    </row>
    <row r="21" spans="1:12">
      <c r="B21" s="15">
        <f>B18</f>
        <v>-98000</v>
      </c>
      <c r="C21" s="15">
        <f>B18+C18</f>
        <v>-125007.956460177</v>
      </c>
      <c r="D21" s="15">
        <f>C21+D18</f>
        <v>-121975.59211335266</v>
      </c>
      <c r="E21" s="15">
        <f t="shared" ref="E21:L21" si="0">D21+E18</f>
        <v>-104607.09506013505</v>
      </c>
      <c r="F21" s="15">
        <f t="shared" si="0"/>
        <v>-81738.986395806191</v>
      </c>
      <c r="G21" s="15">
        <f t="shared" si="0"/>
        <v>-54292.946388781456</v>
      </c>
      <c r="H21" s="15">
        <f t="shared" si="0"/>
        <v>-29571.927189639537</v>
      </c>
      <c r="I21" s="15">
        <f t="shared" si="0"/>
        <v>-6888.9105124687558</v>
      </c>
      <c r="J21" s="15">
        <f t="shared" si="0"/>
        <v>14081.570971447149</v>
      </c>
      <c r="K21" s="15">
        <f t="shared" si="0"/>
        <v>33248.127680204125</v>
      </c>
      <c r="L21" s="15">
        <f t="shared" si="0"/>
        <v>33248.127680204125</v>
      </c>
    </row>
    <row r="22" spans="1:12" s="24" customFormat="1" ht="17">
      <c r="A22" s="18" t="s">
        <v>48</v>
      </c>
    </row>
    <row r="23" spans="1:12" s="24" customFormat="1"/>
    <row r="25" spans="1:12">
      <c r="B25" t="s">
        <v>55</v>
      </c>
    </row>
  </sheetData>
  <phoneticPr fontId="41" type="noConversion"/>
  <pageMargins left="0.7" right="0.7" top="0.75" bottom="0.75" header="0.3" footer="0.3"/>
  <pageSetup paperSize="9"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3"/>
  <dimension ref="A1:J69"/>
  <sheetViews>
    <sheetView topLeftCell="D31" zoomScale="78" zoomScaleNormal="78" zoomScalePageLayoutView="78" workbookViewId="0">
      <selection activeCell="C23" sqref="C23"/>
    </sheetView>
  </sheetViews>
  <sheetFormatPr baseColWidth="10" defaultColWidth="8.83203125" defaultRowHeight="15"/>
  <cols>
    <col min="1" max="1" width="23.5" bestFit="1" customWidth="1"/>
    <col min="2" max="2" width="17.83203125" customWidth="1"/>
    <col min="3" max="3" width="21.33203125" customWidth="1"/>
    <col min="4" max="4" width="10.5" bestFit="1" customWidth="1"/>
    <col min="5" max="5" width="13.6640625" customWidth="1"/>
    <col min="6" max="6" width="19.6640625" customWidth="1"/>
    <col min="7" max="7" width="11.33203125" bestFit="1" customWidth="1"/>
    <col min="8" max="8" width="10.83203125" bestFit="1" customWidth="1"/>
  </cols>
  <sheetData>
    <row r="1" spans="1:8" ht="18" thickTop="1" thickBot="1">
      <c r="A1" s="403" t="s">
        <v>116</v>
      </c>
      <c r="B1" s="404" t="s">
        <v>117</v>
      </c>
      <c r="C1" s="404"/>
      <c r="D1" s="404"/>
      <c r="E1" s="404"/>
      <c r="F1" s="404"/>
      <c r="G1" s="404"/>
      <c r="H1" s="404"/>
    </row>
    <row r="2" spans="1:8" ht="18" thickTop="1" thickBot="1">
      <c r="A2" s="403"/>
      <c r="B2" s="319">
        <v>-0.3</v>
      </c>
      <c r="C2" s="319">
        <v>-0.2</v>
      </c>
      <c r="D2" s="319">
        <v>-0.1</v>
      </c>
      <c r="E2" s="320">
        <v>0</v>
      </c>
      <c r="F2" s="320">
        <v>0.1</v>
      </c>
      <c r="G2" s="320">
        <v>0.2</v>
      </c>
      <c r="H2" s="320">
        <v>0.3</v>
      </c>
    </row>
    <row r="3" spans="1:8" ht="18" thickTop="1" thickBot="1">
      <c r="A3" s="403"/>
      <c r="B3" s="403" t="s">
        <v>118</v>
      </c>
      <c r="C3" s="403"/>
      <c r="D3" s="403"/>
      <c r="E3" s="403"/>
      <c r="F3" s="403"/>
      <c r="G3" s="403"/>
      <c r="H3" s="403"/>
    </row>
    <row r="4" spans="1:8" ht="18" thickTop="1" thickBot="1">
      <c r="A4" s="224" t="s">
        <v>113</v>
      </c>
      <c r="B4" s="321"/>
      <c r="C4" s="321"/>
      <c r="D4" s="321">
        <v>69</v>
      </c>
      <c r="E4" s="321">
        <v>62</v>
      </c>
      <c r="F4" s="321">
        <v>58</v>
      </c>
      <c r="G4" s="321">
        <v>54</v>
      </c>
      <c r="H4" s="321">
        <v>52</v>
      </c>
    </row>
    <row r="5" spans="1:8" ht="18" thickTop="1" thickBot="1">
      <c r="A5" s="224" t="s">
        <v>114</v>
      </c>
      <c r="B5" s="321"/>
      <c r="C5" s="321"/>
      <c r="D5" s="321"/>
      <c r="E5" s="321">
        <v>62</v>
      </c>
      <c r="F5" s="321">
        <v>54</v>
      </c>
      <c r="G5" s="321">
        <v>49</v>
      </c>
      <c r="H5" s="321">
        <v>44</v>
      </c>
    </row>
    <row r="6" spans="1:8" ht="18" thickTop="1" thickBot="1">
      <c r="A6" s="224" t="s">
        <v>89</v>
      </c>
      <c r="B6" s="321">
        <v>56</v>
      </c>
      <c r="C6" s="321">
        <v>58</v>
      </c>
      <c r="D6" s="321">
        <v>60</v>
      </c>
      <c r="E6" s="321">
        <v>62</v>
      </c>
      <c r="F6" s="321">
        <v>65</v>
      </c>
      <c r="G6" s="321">
        <v>67</v>
      </c>
      <c r="H6" s="321">
        <v>70</v>
      </c>
    </row>
    <row r="7" spans="1:8" ht="18" thickTop="1" thickBot="1">
      <c r="A7" s="224" t="s">
        <v>115</v>
      </c>
      <c r="B7" s="321">
        <v>57</v>
      </c>
      <c r="C7" s="321">
        <v>53</v>
      </c>
      <c r="D7" s="321">
        <v>57</v>
      </c>
      <c r="E7" s="321">
        <v>62</v>
      </c>
      <c r="F7" s="321"/>
      <c r="G7" s="321"/>
      <c r="H7" s="321"/>
    </row>
    <row r="8" spans="1:8" ht="18" thickTop="1" thickBot="1">
      <c r="A8" s="224"/>
      <c r="B8" s="405" t="s">
        <v>119</v>
      </c>
      <c r="C8" s="405"/>
      <c r="D8" s="405"/>
      <c r="E8" s="405"/>
      <c r="F8" s="405"/>
      <c r="G8" s="405"/>
      <c r="H8" s="405"/>
    </row>
    <row r="9" spans="1:8" ht="18" thickTop="1" thickBot="1">
      <c r="A9" s="224" t="s">
        <v>120</v>
      </c>
      <c r="B9" s="322">
        <v>-49378.233818578126</v>
      </c>
      <c r="C9" s="322">
        <v>-21836.113318984044</v>
      </c>
      <c r="D9" s="322">
        <v>5706.007180610035</v>
      </c>
      <c r="E9" s="322">
        <v>33248.14</v>
      </c>
      <c r="F9" s="322">
        <v>60790.248179798225</v>
      </c>
      <c r="G9" s="322">
        <v>88332.368679392312</v>
      </c>
      <c r="H9" s="322">
        <v>115874.48917898643</v>
      </c>
    </row>
    <row r="10" spans="1:8" ht="18" thickTop="1" thickBot="1">
      <c r="A10" s="224" t="s">
        <v>114</v>
      </c>
      <c r="B10" s="322">
        <v>-135096.07119092942</v>
      </c>
      <c r="C10" s="322">
        <v>-78981.338233884861</v>
      </c>
      <c r="D10" s="322">
        <v>-22866.605276840342</v>
      </c>
      <c r="E10" s="322">
        <v>33248.14</v>
      </c>
      <c r="F10" s="322">
        <v>89362.860637248668</v>
      </c>
      <c r="G10" s="322">
        <v>145477.59359429314</v>
      </c>
      <c r="H10" s="322">
        <v>201592.32655133767</v>
      </c>
    </row>
    <row r="11" spans="1:8" ht="18" thickTop="1" thickBot="1">
      <c r="A11" s="224" t="s">
        <v>89</v>
      </c>
      <c r="B11" s="323">
        <v>59543.925255541668</v>
      </c>
      <c r="C11" s="324">
        <v>50778.659397095798</v>
      </c>
      <c r="D11" s="323">
        <v>42013.393538649943</v>
      </c>
      <c r="E11" s="322">
        <v>33248.14</v>
      </c>
      <c r="F11" s="323">
        <v>24482.861821758259</v>
      </c>
      <c r="G11" s="325">
        <v>15717.595963312422</v>
      </c>
      <c r="H11" s="323">
        <v>6952.3301048665962</v>
      </c>
    </row>
    <row r="12" spans="1:8" ht="18" thickTop="1" thickBot="1">
      <c r="A12" s="224" t="s">
        <v>121</v>
      </c>
      <c r="B12" s="231">
        <v>67495.250683333143</v>
      </c>
      <c r="C12" s="231">
        <v>101742.37368646215</v>
      </c>
      <c r="D12" s="231">
        <v>67495.250683333143</v>
      </c>
      <c r="E12" s="322">
        <v>33248.14</v>
      </c>
      <c r="F12" s="231">
        <v>-998.99532292493677</v>
      </c>
      <c r="G12" s="231">
        <v>-35246.118326053918</v>
      </c>
      <c r="H12" s="231">
        <v>-69493.241329182973</v>
      </c>
    </row>
    <row r="13" spans="1:8" ht="36.75" customHeight="1" thickTop="1">
      <c r="A13" s="326"/>
      <c r="B13" s="326"/>
      <c r="C13" s="326"/>
      <c r="D13" s="326"/>
      <c r="E13" s="326"/>
      <c r="F13" s="326"/>
      <c r="G13" s="326"/>
      <c r="H13" s="326"/>
    </row>
    <row r="37" spans="1:10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spans="1:10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spans="1:10">
      <c r="A39" s="11"/>
      <c r="B39" s="11"/>
      <c r="C39" s="11"/>
      <c r="D39" s="11"/>
      <c r="E39" s="11"/>
      <c r="F39" s="11"/>
      <c r="G39" s="11"/>
      <c r="H39" s="11"/>
      <c r="I39" s="11"/>
      <c r="J39" s="11"/>
    </row>
    <row r="40" spans="1:10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pans="1:10">
      <c r="A41" s="11"/>
      <c r="B41" s="11"/>
      <c r="C41" s="11"/>
      <c r="D41" s="11"/>
      <c r="E41" s="11"/>
      <c r="F41" s="11"/>
      <c r="G41" s="11"/>
      <c r="H41" s="11"/>
      <c r="I41" s="11"/>
      <c r="J41" s="11"/>
    </row>
    <row r="42" spans="1:10">
      <c r="A42" s="11"/>
      <c r="B42" s="11"/>
      <c r="C42" s="11"/>
      <c r="D42" s="11"/>
      <c r="E42" s="11"/>
      <c r="F42" s="11"/>
      <c r="G42" s="11"/>
      <c r="H42" s="11"/>
      <c r="I42" s="11"/>
      <c r="J42" s="11"/>
    </row>
    <row r="43" spans="1:10">
      <c r="A43" s="11"/>
      <c r="B43" s="11"/>
      <c r="C43" s="11"/>
      <c r="D43" s="11"/>
      <c r="E43" s="11"/>
      <c r="F43" s="11"/>
      <c r="G43" s="11"/>
      <c r="H43" s="11"/>
      <c r="I43" s="11"/>
      <c r="J43" s="11"/>
    </row>
    <row r="44" spans="1:10">
      <c r="A44" s="11"/>
      <c r="B44" s="11"/>
      <c r="C44" s="11"/>
      <c r="D44" s="11"/>
      <c r="E44" s="11"/>
      <c r="F44" s="11"/>
      <c r="G44" s="11"/>
      <c r="H44" s="11"/>
      <c r="I44" s="11"/>
      <c r="J44" s="11"/>
    </row>
    <row r="45" spans="1:10">
      <c r="A45" s="11"/>
      <c r="B45" s="11"/>
      <c r="C45" s="11"/>
      <c r="D45" s="11"/>
      <c r="E45" s="11"/>
      <c r="F45" s="11"/>
      <c r="G45" s="11"/>
      <c r="H45" s="11"/>
      <c r="I45" s="11"/>
      <c r="J45" s="11"/>
    </row>
    <row r="46" spans="1:10" ht="18">
      <c r="A46" s="11"/>
      <c r="B46" s="232"/>
      <c r="C46" s="11"/>
      <c r="D46" s="11"/>
      <c r="E46" s="232"/>
      <c r="F46" s="11"/>
      <c r="G46" s="11"/>
      <c r="H46" s="11"/>
      <c r="I46" s="11"/>
      <c r="J46" s="11"/>
    </row>
    <row r="47" spans="1:10" ht="18">
      <c r="A47" s="98"/>
      <c r="B47" s="406"/>
      <c r="C47" s="406"/>
      <c r="D47" s="402"/>
      <c r="E47" s="402"/>
      <c r="F47" s="11"/>
      <c r="G47" s="11"/>
      <c r="H47" s="11"/>
      <c r="I47" s="11"/>
      <c r="J47" s="11"/>
    </row>
    <row r="48" spans="1:10" ht="18">
      <c r="A48" s="98"/>
      <c r="B48" s="55"/>
      <c r="C48" s="55"/>
      <c r="D48" s="55"/>
      <c r="E48" s="55"/>
      <c r="F48" s="11"/>
      <c r="G48" s="11"/>
      <c r="H48" s="11"/>
      <c r="I48" s="11"/>
      <c r="J48" s="11"/>
    </row>
    <row r="49" spans="1:10" ht="18">
      <c r="A49" s="98"/>
      <c r="B49" s="55"/>
      <c r="C49" s="55"/>
      <c r="D49" s="55"/>
      <c r="E49" s="55"/>
      <c r="F49" s="11"/>
      <c r="G49" s="11"/>
      <c r="H49" s="11"/>
      <c r="I49" s="11"/>
      <c r="J49" s="11"/>
    </row>
    <row r="50" spans="1:10" ht="18">
      <c r="A50" s="401"/>
      <c r="B50" s="402"/>
      <c r="C50" s="402"/>
      <c r="D50" s="402"/>
      <c r="E50" s="55"/>
      <c r="F50" s="11"/>
      <c r="G50" s="11"/>
      <c r="H50" s="11"/>
      <c r="I50" s="11"/>
      <c r="J50" s="11"/>
    </row>
    <row r="51" spans="1:10" ht="18">
      <c r="A51" s="401"/>
      <c r="B51" s="402"/>
      <c r="C51" s="402"/>
      <c r="D51" s="402"/>
      <c r="E51" s="55"/>
      <c r="F51" s="11"/>
      <c r="G51" s="11"/>
      <c r="H51" s="11"/>
      <c r="I51" s="11"/>
      <c r="J51" s="11"/>
    </row>
    <row r="52" spans="1:10" ht="18">
      <c r="A52" s="98"/>
      <c r="B52" s="55"/>
      <c r="C52" s="55"/>
      <c r="D52" s="55"/>
      <c r="E52" s="55"/>
      <c r="F52" s="11"/>
      <c r="G52" s="11"/>
      <c r="H52" s="11"/>
      <c r="I52" s="11"/>
      <c r="J52" s="11"/>
    </row>
    <row r="53" spans="1:10" ht="18">
      <c r="A53" s="98"/>
      <c r="B53" s="55"/>
      <c r="C53" s="55"/>
      <c r="D53" s="55"/>
      <c r="E53" s="55"/>
      <c r="F53" s="11"/>
      <c r="G53" s="11"/>
      <c r="H53" s="11"/>
      <c r="I53" s="11"/>
      <c r="J53" s="11"/>
    </row>
    <row r="54" spans="1:10" ht="18">
      <c r="A54" s="98"/>
      <c r="B54" s="55"/>
      <c r="C54" s="55"/>
      <c r="D54" s="55"/>
      <c r="E54" s="55"/>
      <c r="F54" s="11"/>
      <c r="G54" s="11"/>
      <c r="H54" s="11"/>
      <c r="I54" s="11"/>
      <c r="J54" s="11"/>
    </row>
    <row r="55" spans="1:10" ht="18">
      <c r="A55" s="98"/>
      <c r="B55" s="55"/>
      <c r="C55" s="55"/>
      <c r="D55" s="55"/>
      <c r="E55" s="55"/>
      <c r="F55" s="11"/>
      <c r="G55" s="11"/>
      <c r="H55" s="11"/>
      <c r="I55" s="11"/>
      <c r="J55" s="11"/>
    </row>
    <row r="56" spans="1:10">
      <c r="A56" s="11"/>
      <c r="B56" s="11"/>
      <c r="C56" s="11"/>
      <c r="D56" s="11"/>
      <c r="E56" s="11"/>
      <c r="F56" s="11"/>
      <c r="G56" s="11"/>
      <c r="H56" s="11"/>
      <c r="I56" s="11"/>
      <c r="J56" s="11"/>
    </row>
    <row r="57" spans="1:10">
      <c r="A57" s="11"/>
      <c r="B57" s="11"/>
      <c r="C57" s="11"/>
      <c r="D57" s="11"/>
      <c r="E57" s="11"/>
      <c r="F57" s="11"/>
      <c r="G57" s="11"/>
      <c r="H57" s="11"/>
      <c r="I57" s="11"/>
      <c r="J57" s="11"/>
    </row>
    <row r="58" spans="1:10" ht="18">
      <c r="A58" s="11"/>
      <c r="B58" s="233"/>
      <c r="C58" s="233"/>
      <c r="D58" s="233"/>
      <c r="E58" s="234"/>
      <c r="F58" s="234"/>
      <c r="G58" s="234"/>
      <c r="H58" s="234"/>
      <c r="I58" s="11"/>
      <c r="J58" s="11"/>
    </row>
    <row r="59" spans="1:10" ht="18">
      <c r="A59" s="122"/>
      <c r="B59" s="11"/>
      <c r="C59" s="11"/>
      <c r="D59" s="11"/>
      <c r="E59" s="11"/>
      <c r="F59" s="11"/>
      <c r="G59" s="11"/>
      <c r="H59" s="11"/>
      <c r="I59" s="11"/>
      <c r="J59" s="11"/>
    </row>
    <row r="60" spans="1:10" ht="18">
      <c r="A60" s="98"/>
      <c r="B60" s="11"/>
      <c r="C60" s="11"/>
      <c r="D60" s="11"/>
      <c r="E60" s="11"/>
      <c r="F60" s="11"/>
      <c r="G60" s="11"/>
      <c r="H60" s="11"/>
      <c r="I60" s="11"/>
      <c r="J60" s="11"/>
    </row>
    <row r="61" spans="1:10" ht="18">
      <c r="A61" s="98"/>
      <c r="B61" s="11"/>
      <c r="C61" s="11"/>
      <c r="D61" s="11"/>
      <c r="E61" s="11"/>
      <c r="F61" s="11"/>
      <c r="G61" s="11"/>
      <c r="H61" s="11"/>
      <c r="I61" s="11"/>
      <c r="J61" s="11"/>
    </row>
    <row r="62" spans="1:10">
      <c r="A62" s="401"/>
      <c r="B62" s="11"/>
      <c r="C62" s="11"/>
      <c r="D62" s="11"/>
      <c r="E62" s="11"/>
      <c r="F62" s="11"/>
      <c r="G62" s="11"/>
      <c r="H62" s="11"/>
      <c r="I62" s="11"/>
      <c r="J62" s="11"/>
    </row>
    <row r="63" spans="1:10">
      <c r="A63" s="401"/>
      <c r="B63" s="11"/>
      <c r="C63" s="11"/>
      <c r="D63" s="11"/>
      <c r="E63" s="11"/>
      <c r="F63" s="11"/>
      <c r="G63" s="11"/>
      <c r="H63" s="11"/>
      <c r="I63" s="11"/>
      <c r="J63" s="11"/>
    </row>
    <row r="64" spans="1:10" ht="18">
      <c r="A64" s="98"/>
      <c r="B64" s="11"/>
      <c r="C64" s="11"/>
      <c r="D64" s="11"/>
      <c r="E64" s="11"/>
      <c r="F64" s="11"/>
      <c r="G64" s="11"/>
      <c r="H64" s="11"/>
      <c r="I64" s="11"/>
      <c r="J64" s="11"/>
    </row>
    <row r="65" spans="1:10" ht="18">
      <c r="A65" s="98"/>
      <c r="B65" s="11"/>
      <c r="C65" s="11"/>
      <c r="D65" s="11"/>
      <c r="E65" s="11"/>
      <c r="F65" s="11"/>
      <c r="G65" s="11"/>
      <c r="H65" s="11"/>
      <c r="I65" s="11"/>
      <c r="J65" s="11"/>
    </row>
    <row r="66" spans="1:10" ht="18">
      <c r="A66" s="98"/>
      <c r="B66" s="11"/>
      <c r="C66" s="11"/>
      <c r="D66" s="11"/>
      <c r="E66" s="11"/>
      <c r="F66" s="11"/>
      <c r="G66" s="11"/>
      <c r="H66" s="11"/>
      <c r="I66" s="11"/>
      <c r="J66" s="11"/>
    </row>
    <row r="67" spans="1:10" ht="18">
      <c r="A67" s="98"/>
      <c r="B67" s="11"/>
      <c r="C67" s="11"/>
      <c r="D67" s="11"/>
      <c r="E67" s="11"/>
      <c r="F67" s="11"/>
      <c r="G67" s="11"/>
      <c r="H67" s="11"/>
      <c r="I67" s="11"/>
      <c r="J67" s="11"/>
    </row>
    <row r="68" spans="1:10">
      <c r="A68" s="11"/>
      <c r="B68" s="11"/>
      <c r="C68" s="11"/>
      <c r="D68" s="11"/>
      <c r="E68" s="11"/>
      <c r="F68" s="11"/>
      <c r="G68" s="11"/>
      <c r="H68" s="11"/>
      <c r="I68" s="11"/>
      <c r="J68" s="11"/>
    </row>
    <row r="69" spans="1:10">
      <c r="A69" s="11"/>
      <c r="B69" s="11"/>
      <c r="C69" s="11"/>
      <c r="D69" s="11"/>
      <c r="E69" s="11"/>
      <c r="F69" s="11"/>
      <c r="G69" s="11"/>
      <c r="H69" s="11"/>
      <c r="I69" s="11"/>
      <c r="J69" s="11"/>
    </row>
  </sheetData>
  <mergeCells count="11">
    <mergeCell ref="A1:A3"/>
    <mergeCell ref="B1:H1"/>
    <mergeCell ref="B3:H3"/>
    <mergeCell ref="B8:H8"/>
    <mergeCell ref="B47:C47"/>
    <mergeCell ref="D47:E47"/>
    <mergeCell ref="A50:A51"/>
    <mergeCell ref="B50:B51"/>
    <mergeCell ref="C50:C51"/>
    <mergeCell ref="D50:D51"/>
    <mergeCell ref="A62:A63"/>
  </mergeCells>
  <pageMargins left="0.7" right="0.7" top="0.75" bottom="0.75" header="0.3" footer="0.3"/>
  <pageSetup paperSize="9"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9"/>
  <dimension ref="A1:Z275"/>
  <sheetViews>
    <sheetView topLeftCell="A27" zoomScale="60" zoomScaleNormal="60" zoomScalePageLayoutView="75" workbookViewId="0">
      <selection activeCell="B11" sqref="B11"/>
    </sheetView>
  </sheetViews>
  <sheetFormatPr baseColWidth="10" defaultColWidth="8.83203125" defaultRowHeight="15"/>
  <cols>
    <col min="1" max="1" width="66.1640625" bestFit="1" customWidth="1"/>
    <col min="2" max="5" width="19" bestFit="1" customWidth="1"/>
    <col min="6" max="6" width="18" bestFit="1" customWidth="1"/>
    <col min="7" max="7" width="12.33203125" bestFit="1" customWidth="1"/>
    <col min="8" max="8" width="13.6640625" bestFit="1" customWidth="1"/>
    <col min="10" max="10" width="9.5" bestFit="1" customWidth="1"/>
    <col min="11" max="11" width="15" customWidth="1"/>
    <col min="12" max="12" width="10.1640625" bestFit="1" customWidth="1"/>
  </cols>
  <sheetData>
    <row r="1" spans="1:26" ht="16">
      <c r="B1" s="1" t="s">
        <v>22</v>
      </c>
    </row>
    <row r="2" spans="1:26" ht="17" thickBot="1">
      <c r="A2" s="2"/>
      <c r="B2" t="s">
        <v>134</v>
      </c>
    </row>
    <row r="3" spans="1:26" ht="19" thickBot="1">
      <c r="A3" s="46"/>
      <c r="B3" s="147" t="s">
        <v>69</v>
      </c>
      <c r="C3" s="147" t="s">
        <v>191</v>
      </c>
      <c r="D3" s="147" t="s">
        <v>192</v>
      </c>
      <c r="E3" s="147" t="s">
        <v>168</v>
      </c>
      <c r="F3" s="147" t="s">
        <v>169</v>
      </c>
      <c r="G3" s="147" t="s">
        <v>170</v>
      </c>
      <c r="H3" s="147" t="s">
        <v>193</v>
      </c>
      <c r="I3" s="147" t="s">
        <v>171</v>
      </c>
      <c r="J3" s="147" t="s">
        <v>172</v>
      </c>
      <c r="T3" s="24"/>
      <c r="V3" s="46"/>
      <c r="W3" s="48"/>
      <c r="X3" s="48"/>
      <c r="Y3" s="48"/>
      <c r="Z3" s="48"/>
    </row>
    <row r="4" spans="1:26" ht="19" thickBot="1">
      <c r="A4" s="44" t="s">
        <v>17</v>
      </c>
      <c r="B4" s="45">
        <f>Исходные!B71</f>
        <v>34000</v>
      </c>
      <c r="C4" s="45">
        <f>Исходные!C71</f>
        <v>78144</v>
      </c>
      <c r="D4" s="45">
        <f>Исходные!D71</f>
        <v>107628.4</v>
      </c>
      <c r="E4" s="45">
        <f>Исходные!E71</f>
        <v>139535.96800000005</v>
      </c>
      <c r="F4" s="45">
        <f>Исходные!F71</f>
        <v>174022.86387200005</v>
      </c>
      <c r="G4" s="45">
        <f>Исходные!G71</f>
        <v>180983.77842688005</v>
      </c>
      <c r="H4" s="45">
        <f>Исходные!H71</f>
        <v>188223.12956395524</v>
      </c>
      <c r="I4" s="45">
        <f>Исходные!I71</f>
        <v>197090.37293915346</v>
      </c>
      <c r="J4" s="45">
        <f>Исходные!J71</f>
        <v>204973.98785671964</v>
      </c>
      <c r="T4" s="32"/>
      <c r="U4" s="32"/>
      <c r="V4" s="44"/>
      <c r="W4" s="47"/>
      <c r="X4" s="47"/>
      <c r="Y4" s="47"/>
      <c r="Z4" s="47"/>
    </row>
    <row r="5" spans="1:26" ht="19" thickBot="1">
      <c r="A5" s="44" t="s">
        <v>38</v>
      </c>
      <c r="B5" s="45">
        <f>Исходные!L119</f>
        <v>42783.320799999994</v>
      </c>
      <c r="C5" s="45">
        <f>Исходные!M119</f>
        <v>29193.275512399996</v>
      </c>
      <c r="D5" s="45">
        <f>Исходные!N119</f>
        <v>18061.412630168801</v>
      </c>
      <c r="E5" s="45">
        <f>Исходные!O119</f>
        <v>18488.83040423011</v>
      </c>
      <c r="F5" s="45">
        <f>Исходные!P119</f>
        <v>18941.189093067129</v>
      </c>
      <c r="G5" s="45">
        <f>Исходные!Q119</f>
        <v>19593.131475326369</v>
      </c>
      <c r="H5" s="45">
        <f>Исходные!R119</f>
        <v>19866.824320917931</v>
      </c>
      <c r="I5" s="45">
        <f>Исходные!S119</f>
        <v>20403.374179433915</v>
      </c>
      <c r="J5" s="45">
        <f>Исходные!T119</f>
        <v>20971.363536031044</v>
      </c>
      <c r="T5" s="32"/>
      <c r="U5" s="32"/>
      <c r="V5" s="44"/>
      <c r="W5" s="47"/>
      <c r="X5" s="47"/>
      <c r="Y5" s="47"/>
      <c r="Z5" s="47"/>
    </row>
    <row r="6" spans="1:26" ht="19" thickBot="1">
      <c r="A6" s="44" t="s">
        <v>39</v>
      </c>
      <c r="B6" s="45">
        <f>Исходные!L120</f>
        <v>23695.8</v>
      </c>
      <c r="C6" s="45">
        <f>Исходные!M120</f>
        <v>51684.088799999998</v>
      </c>
      <c r="D6" s="45">
        <f>Исходные!N120</f>
        <v>67266.912305599995</v>
      </c>
      <c r="E6" s="45">
        <f>Исходные!O120</f>
        <v>84256.45218367521</v>
      </c>
      <c r="F6" s="45">
        <f>Исходные!P120</f>
        <v>102553.84076670144</v>
      </c>
      <c r="G6" s="45">
        <f>Исходные!Q120</f>
        <v>107050.26442488005</v>
      </c>
      <c r="H6" s="45">
        <f>Исходные!R120</f>
        <v>111752.96112122899</v>
      </c>
      <c r="I6" s="45">
        <f>Исходные!S120</f>
        <v>117287.578024043</v>
      </c>
      <c r="J6" s="45">
        <f>Исходные!T120</f>
        <v>122458.02766434164</v>
      </c>
      <c r="T6" s="32"/>
      <c r="U6" s="32"/>
      <c r="V6" s="44"/>
      <c r="W6" s="47"/>
      <c r="X6" s="47"/>
      <c r="Y6" s="47"/>
      <c r="Z6" s="47"/>
    </row>
    <row r="7" spans="1:26" ht="19" thickBot="1">
      <c r="A7" s="44" t="s">
        <v>40</v>
      </c>
      <c r="B7" s="45">
        <f t="shared" ref="B7:E7" si="0">B4-B5-B6</f>
        <v>-32479.120799999993</v>
      </c>
      <c r="C7" s="45">
        <f t="shared" si="0"/>
        <v>-2733.3643123999937</v>
      </c>
      <c r="D7" s="45">
        <f t="shared" si="0"/>
        <v>22300.07506423119</v>
      </c>
      <c r="E7" s="45">
        <f t="shared" si="0"/>
        <v>36790.685412094739</v>
      </c>
      <c r="F7" s="45">
        <f t="shared" ref="F7:J7" si="1">F4-F5-F6</f>
        <v>52527.834012231469</v>
      </c>
      <c r="G7" s="45">
        <f t="shared" si="1"/>
        <v>54340.382526673624</v>
      </c>
      <c r="H7" s="45">
        <f t="shared" si="1"/>
        <v>56603.344121808332</v>
      </c>
      <c r="I7" s="45">
        <f t="shared" si="1"/>
        <v>59399.42073567654</v>
      </c>
      <c r="J7" s="45">
        <f t="shared" si="1"/>
        <v>61544.596656346956</v>
      </c>
      <c r="T7" s="32"/>
      <c r="U7" s="32"/>
      <c r="V7" s="44"/>
      <c r="W7" s="47"/>
      <c r="X7" s="47"/>
      <c r="Y7" s="47"/>
      <c r="Z7" s="47"/>
    </row>
    <row r="8" spans="1:26" ht="19" thickBot="1">
      <c r="A8" s="44" t="s">
        <v>41</v>
      </c>
      <c r="B8" s="45">
        <f>B41</f>
        <v>61110.81662202657</v>
      </c>
      <c r="C8" s="45">
        <f>C41</f>
        <v>23210.666799205857</v>
      </c>
      <c r="D8" s="45">
        <f>D41</f>
        <v>11332.160330768853</v>
      </c>
      <c r="E8" s="45">
        <f>E41</f>
        <v>11875.493407228223</v>
      </c>
      <c r="F8" s="45">
        <f>L41</f>
        <v>19607.588607819154</v>
      </c>
      <c r="G8" s="45">
        <f t="shared" ref="G8:J8" si="2">G41</f>
        <v>13258.56594939521</v>
      </c>
      <c r="H8" s="45">
        <f t="shared" si="2"/>
        <v>13714.499445012478</v>
      </c>
      <c r="I8" s="45">
        <f t="shared" si="2"/>
        <v>14398.065653466638</v>
      </c>
      <c r="J8" s="45">
        <f t="shared" si="2"/>
        <v>15116.659418300278</v>
      </c>
      <c r="T8" s="32"/>
    </row>
    <row r="9" spans="1:26" ht="19" thickBot="1">
      <c r="A9" s="44" t="s">
        <v>150</v>
      </c>
      <c r="B9" s="45">
        <f>B4+B8</f>
        <v>95110.81662202657</v>
      </c>
      <c r="C9" s="45">
        <f t="shared" ref="C9:E9" si="3">C4-C8</f>
        <v>54933.333200794143</v>
      </c>
      <c r="D9" s="45">
        <f t="shared" si="3"/>
        <v>96296.239669231145</v>
      </c>
      <c r="E9" s="45">
        <f t="shared" si="3"/>
        <v>127660.47459277183</v>
      </c>
      <c r="F9" s="45">
        <f t="shared" ref="F9:J9" si="4">F4-F8</f>
        <v>154415.27526418091</v>
      </c>
      <c r="G9" s="45">
        <f t="shared" si="4"/>
        <v>167725.21247748483</v>
      </c>
      <c r="H9" s="45">
        <f t="shared" si="4"/>
        <v>174508.63011894276</v>
      </c>
      <c r="I9" s="45">
        <f t="shared" si="4"/>
        <v>182692.30728568681</v>
      </c>
      <c r="J9" s="45">
        <f t="shared" si="4"/>
        <v>189857.32843841935</v>
      </c>
      <c r="T9" s="32"/>
    </row>
    <row r="10" spans="1:26" ht="19" thickBot="1">
      <c r="A10" s="44" t="s">
        <v>42</v>
      </c>
      <c r="B10" s="47">
        <v>0</v>
      </c>
      <c r="C10" s="47">
        <f>(C4-C8)/C4*100%</f>
        <v>0.70297570127961384</v>
      </c>
      <c r="D10" s="47">
        <f>(D4-D8)/D4*100%</f>
        <v>0.89471031502123188</v>
      </c>
      <c r="E10" s="47">
        <f t="shared" ref="E10" si="5">(E4-E8)/E4*100%</f>
        <v>0.91489295858664765</v>
      </c>
      <c r="F10" s="47">
        <f t="shared" ref="F10:J10" si="6">(F4-F8)/F4*100%</f>
        <v>0.88732751449119229</v>
      </c>
      <c r="G10" s="47">
        <f t="shared" si="6"/>
        <v>0.92674168887046493</v>
      </c>
      <c r="H10" s="47">
        <f t="shared" si="6"/>
        <v>0.92713701298674611</v>
      </c>
      <c r="I10" s="47">
        <f t="shared" si="6"/>
        <v>0.92694688513318868</v>
      </c>
      <c r="J10" s="47">
        <f t="shared" si="6"/>
        <v>0.92625084003894631</v>
      </c>
      <c r="T10" s="32"/>
    </row>
    <row r="11" spans="1:26" ht="16" thickBot="1">
      <c r="B11" s="32"/>
      <c r="C11" s="32"/>
      <c r="D11" s="32"/>
      <c r="E11" s="32"/>
    </row>
    <row r="12" spans="1:26" ht="19" thickBot="1">
      <c r="A12" s="61"/>
      <c r="B12" s="147" t="s">
        <v>69</v>
      </c>
      <c r="C12" s="147">
        <v>2022</v>
      </c>
      <c r="D12" s="147" t="s">
        <v>191</v>
      </c>
      <c r="E12" s="147">
        <v>2023</v>
      </c>
      <c r="F12" s="147" t="s">
        <v>192</v>
      </c>
      <c r="G12" s="147">
        <v>2024</v>
      </c>
      <c r="H12" s="147" t="s">
        <v>168</v>
      </c>
      <c r="I12" s="147">
        <v>2025</v>
      </c>
      <c r="J12" s="147" t="s">
        <v>169</v>
      </c>
    </row>
    <row r="13" spans="1:26" ht="18">
      <c r="A13" s="114" t="s">
        <v>17</v>
      </c>
      <c r="B13" s="65">
        <f>B4</f>
        <v>34000</v>
      </c>
      <c r="C13" s="65">
        <f t="shared" ref="C13:E13" si="7">C4</f>
        <v>78144</v>
      </c>
      <c r="D13" s="65">
        <f t="shared" si="7"/>
        <v>107628.4</v>
      </c>
      <c r="E13" s="65">
        <f t="shared" si="7"/>
        <v>139535.96800000005</v>
      </c>
      <c r="F13" s="160">
        <f t="shared" ref="F13:J13" si="8">F4</f>
        <v>174022.86387200005</v>
      </c>
      <c r="G13" s="160">
        <f t="shared" si="8"/>
        <v>180983.77842688005</v>
      </c>
      <c r="H13" s="160">
        <f t="shared" si="8"/>
        <v>188223.12956395524</v>
      </c>
      <c r="I13" s="160">
        <f t="shared" si="8"/>
        <v>197090.37293915346</v>
      </c>
      <c r="J13" s="160">
        <f t="shared" si="8"/>
        <v>204973.98785671964</v>
      </c>
    </row>
    <row r="14" spans="1:26" ht="18">
      <c r="A14" s="114" t="s">
        <v>130</v>
      </c>
      <c r="B14" s="65">
        <f>B5+B6</f>
        <v>66479.12079999999</v>
      </c>
      <c r="C14" s="65">
        <f t="shared" ref="C14:E14" si="9">C5+C6</f>
        <v>80877.364312399994</v>
      </c>
      <c r="D14" s="65">
        <f t="shared" si="9"/>
        <v>85328.324935768789</v>
      </c>
      <c r="E14" s="65">
        <f t="shared" si="9"/>
        <v>102745.28258790533</v>
      </c>
      <c r="F14" s="160">
        <f t="shared" ref="F14:J14" si="10">F5+F6</f>
        <v>121495.02985976858</v>
      </c>
      <c r="G14" s="160">
        <f t="shared" si="10"/>
        <v>126643.39590020642</v>
      </c>
      <c r="H14" s="160">
        <f t="shared" si="10"/>
        <v>131619.78544214691</v>
      </c>
      <c r="I14" s="160">
        <f t="shared" si="10"/>
        <v>137690.95220347692</v>
      </c>
      <c r="J14" s="160">
        <f t="shared" si="10"/>
        <v>143429.39120037269</v>
      </c>
    </row>
    <row r="15" spans="1:26">
      <c r="F15" s="11"/>
    </row>
    <row r="17" spans="1:12" ht="19" thickBot="1">
      <c r="A17" s="62" t="s">
        <v>131</v>
      </c>
      <c r="B17" t="s">
        <v>135</v>
      </c>
      <c r="L17" t="s">
        <v>136</v>
      </c>
    </row>
    <row r="18" spans="1:12" ht="19" thickBot="1">
      <c r="A18" s="148" t="str">
        <f>Исходные!A24</f>
        <v xml:space="preserve">Наименование </v>
      </c>
      <c r="B18" s="147" t="s">
        <v>69</v>
      </c>
      <c r="C18" s="147">
        <v>2022</v>
      </c>
      <c r="D18" s="147" t="s">
        <v>191</v>
      </c>
      <c r="E18" s="147">
        <v>2023</v>
      </c>
      <c r="F18" s="147" t="s">
        <v>192</v>
      </c>
      <c r="G18" s="147">
        <v>2024</v>
      </c>
      <c r="H18" s="147" t="s">
        <v>168</v>
      </c>
      <c r="I18" s="147">
        <v>2025</v>
      </c>
      <c r="J18" s="147" t="s">
        <v>169</v>
      </c>
      <c r="L18" s="149"/>
    </row>
    <row r="19" spans="1:12" ht="18">
      <c r="A19" s="65" t="str">
        <f>Исходные!A25</f>
        <v>Агро ДКВ 1, кг</v>
      </c>
      <c r="B19" s="65">
        <f>Исходные!B25</f>
        <v>0</v>
      </c>
      <c r="C19" s="196">
        <f>Исходные!C25</f>
        <v>440.00000000000006</v>
      </c>
      <c r="D19" s="196">
        <f>Исходные!D25</f>
        <v>297</v>
      </c>
      <c r="E19" s="196">
        <f>Исходные!E25</f>
        <v>330</v>
      </c>
      <c r="F19" s="196">
        <f>Исходные!F25</f>
        <v>330</v>
      </c>
      <c r="G19" s="196">
        <f>Исходные!G25</f>
        <v>330</v>
      </c>
      <c r="H19" s="196">
        <f>Исходные!H25</f>
        <v>330</v>
      </c>
      <c r="I19" s="196">
        <f>Исходные!I25</f>
        <v>330</v>
      </c>
      <c r="J19" s="196">
        <f>Исходные!J25</f>
        <v>330</v>
      </c>
      <c r="L19" s="65">
        <f>AVERAGE(B19:J19)</f>
        <v>301.88888888888891</v>
      </c>
    </row>
    <row r="20" spans="1:12" s="24" customFormat="1" ht="18">
      <c r="A20" s="196" t="str">
        <f>Исходные!A26</f>
        <v>Агро ДКВ 2, кг</v>
      </c>
      <c r="B20" s="196">
        <f>Исходные!B26</f>
        <v>0</v>
      </c>
      <c r="C20" s="196">
        <f>Исходные!C26</f>
        <v>220.00000000000003</v>
      </c>
      <c r="D20" s="196">
        <f>Исходные!D26</f>
        <v>275</v>
      </c>
      <c r="E20" s="196">
        <f>Исходные!E26</f>
        <v>330</v>
      </c>
      <c r="F20" s="196">
        <f>Исходные!F26</f>
        <v>330</v>
      </c>
      <c r="G20" s="196">
        <f>Исходные!G26</f>
        <v>330</v>
      </c>
      <c r="H20" s="196">
        <f>Исходные!H26</f>
        <v>330</v>
      </c>
      <c r="I20" s="196">
        <f>Исходные!I26</f>
        <v>330</v>
      </c>
      <c r="J20" s="196">
        <f>Исходные!J26</f>
        <v>330</v>
      </c>
      <c r="L20" s="65">
        <f>AVERAGE(B20:J20)</f>
        <v>275</v>
      </c>
    </row>
    <row r="21" spans="1:12" s="24" customFormat="1" ht="18">
      <c r="A21" s="196" t="str">
        <f>Исходные!A27</f>
        <v>Агро ДКВ экспорт, кг</v>
      </c>
      <c r="B21" s="196">
        <f>Исходные!B27</f>
        <v>0</v>
      </c>
      <c r="C21" s="196">
        <f>Исходные!C27</f>
        <v>0</v>
      </c>
      <c r="D21" s="196">
        <f>Исходные!D27</f>
        <v>55.000000000000007</v>
      </c>
      <c r="E21" s="196">
        <f>Исходные!E27</f>
        <v>55.000000000000007</v>
      </c>
      <c r="F21" s="196">
        <f>Исходные!F27</f>
        <v>110.00000000000001</v>
      </c>
      <c r="G21" s="196">
        <f>Исходные!G27</f>
        <v>110.00000000000001</v>
      </c>
      <c r="H21" s="196">
        <f>Исходные!H27</f>
        <v>110.00000000000001</v>
      </c>
      <c r="I21" s="196">
        <f>Исходные!I27</f>
        <v>220.00000000000003</v>
      </c>
      <c r="J21" s="196">
        <f>Исходные!J27</f>
        <v>220.00000000000003</v>
      </c>
      <c r="L21" s="65">
        <f>AVERAGE(B21:J21)</f>
        <v>97.777777777777786</v>
      </c>
    </row>
    <row r="22" spans="1:12" s="24" customFormat="1" ht="18">
      <c r="A22" s="196" t="str">
        <f>Исходные!A28</f>
        <v>БАД диабет</v>
      </c>
      <c r="B22" s="196">
        <f>Исходные!B28</f>
        <v>30000</v>
      </c>
      <c r="C22" s="196">
        <f>Исходные!C28</f>
        <v>66000</v>
      </c>
      <c r="D22" s="196">
        <f>Исходные!D28</f>
        <v>88000</v>
      </c>
      <c r="E22" s="196">
        <f>Исходные!E28</f>
        <v>110000.00000000001</v>
      </c>
      <c r="F22" s="196">
        <f>Исходные!F28</f>
        <v>132000</v>
      </c>
      <c r="G22" s="196">
        <f>Исходные!G28</f>
        <v>132000</v>
      </c>
      <c r="H22" s="196">
        <f>Исходные!H28</f>
        <v>132000</v>
      </c>
      <c r="I22" s="196">
        <f>Исходные!I28</f>
        <v>132000</v>
      </c>
      <c r="J22" s="196">
        <f>Исходные!J28</f>
        <v>132000</v>
      </c>
      <c r="L22" s="196"/>
    </row>
    <row r="23" spans="1:12" s="24" customFormat="1" ht="18">
      <c r="A23" s="196" t="str">
        <f>Исходные!A30</f>
        <v>БАД спорт</v>
      </c>
      <c r="B23" s="196">
        <f>Исходные!B30</f>
        <v>22000</v>
      </c>
      <c r="C23" s="196">
        <f>Исходные!C30</f>
        <v>33000</v>
      </c>
      <c r="D23" s="196">
        <f>Исходные!D30</f>
        <v>44000</v>
      </c>
      <c r="E23" s="196">
        <f>Исходные!E30</f>
        <v>55000.000000000007</v>
      </c>
      <c r="F23" s="196">
        <f>Исходные!F30</f>
        <v>66000</v>
      </c>
      <c r="G23" s="196">
        <f>Исходные!G30</f>
        <v>66000</v>
      </c>
      <c r="H23" s="196">
        <f>Исходные!H30</f>
        <v>66000</v>
      </c>
      <c r="I23" s="196">
        <f>Исходные!I30</f>
        <v>66000</v>
      </c>
      <c r="J23" s="196">
        <f>Исходные!J30</f>
        <v>66000</v>
      </c>
      <c r="L23" s="196"/>
    </row>
    <row r="24" spans="1:12" ht="18">
      <c r="A24" s="65" t="str">
        <f>Исходные!A31</f>
        <v>Итого</v>
      </c>
      <c r="B24" s="65">
        <f>Исходные!B31</f>
        <v>74000</v>
      </c>
      <c r="C24" s="65">
        <f>Исходные!C31</f>
        <v>132660</v>
      </c>
      <c r="D24" s="65">
        <f>Исходные!D31</f>
        <v>176627</v>
      </c>
      <c r="E24" s="65">
        <f>Исходные!E31</f>
        <v>220715.00000000003</v>
      </c>
      <c r="F24" s="160">
        <f>Исходные!F31</f>
        <v>264770</v>
      </c>
      <c r="G24" s="160">
        <f>Исходные!G31</f>
        <v>264770</v>
      </c>
      <c r="H24" s="160">
        <f>Исходные!H31</f>
        <v>264770</v>
      </c>
      <c r="I24" s="160">
        <f>Исходные!I31</f>
        <v>264880</v>
      </c>
      <c r="J24" s="160">
        <f>Исходные!J31</f>
        <v>264880</v>
      </c>
      <c r="L24" s="65">
        <f>AVERAGE(B24:J24)</f>
        <v>214230.22222222222</v>
      </c>
    </row>
    <row r="25" spans="1:12" ht="18">
      <c r="A25" s="65"/>
      <c r="B25" s="65"/>
      <c r="C25" s="65"/>
      <c r="D25" s="65"/>
      <c r="E25" s="65"/>
      <c r="F25" s="160"/>
      <c r="G25" s="160"/>
      <c r="H25" s="160"/>
      <c r="I25" s="160"/>
      <c r="J25" s="160"/>
      <c r="L25" s="65"/>
    </row>
    <row r="26" spans="1:12" ht="16" thickBot="1">
      <c r="A26" s="24"/>
      <c r="B26" s="24"/>
      <c r="C26" s="24"/>
      <c r="D26" s="24"/>
      <c r="E26" s="24"/>
      <c r="F26" s="32"/>
    </row>
    <row r="27" spans="1:12" ht="19" thickBot="1">
      <c r="A27" s="151" t="s">
        <v>138</v>
      </c>
      <c r="B27" s="147" t="s">
        <v>69</v>
      </c>
      <c r="C27" s="147">
        <v>2022</v>
      </c>
      <c r="D27" s="147" t="s">
        <v>191</v>
      </c>
      <c r="E27" s="147">
        <v>2023</v>
      </c>
      <c r="F27" s="147" t="s">
        <v>192</v>
      </c>
      <c r="G27" s="147">
        <v>2024</v>
      </c>
      <c r="H27" s="147" t="s">
        <v>168</v>
      </c>
      <c r="I27" s="147">
        <v>2025</v>
      </c>
      <c r="J27" s="147" t="s">
        <v>169</v>
      </c>
      <c r="L27" s="24" t="s">
        <v>136</v>
      </c>
    </row>
    <row r="28" spans="1:12" ht="18">
      <c r="A28" s="65" t="s">
        <v>72</v>
      </c>
      <c r="B28" s="152">
        <f>Исходные!L122</f>
        <v>40483.190799999997</v>
      </c>
      <c r="C28" s="152">
        <f>Исходные!M122</f>
        <v>22111.065512399997</v>
      </c>
      <c r="D28" s="152">
        <f>Исходные!N122</f>
        <v>11092.752630168801</v>
      </c>
      <c r="E28" s="152">
        <f>Исходные!O122</f>
        <v>11637.140404230111</v>
      </c>
      <c r="F28" s="152">
        <f>Исходные!P122</f>
        <v>12210.049093067129</v>
      </c>
      <c r="G28" s="152">
        <f>Исходные!Q122</f>
        <v>13001.201475326368</v>
      </c>
      <c r="H28" s="152">
        <f>Исходные!R122</f>
        <v>13447.894320917931</v>
      </c>
      <c r="I28" s="152">
        <f>Исходные!S122</f>
        <v>14116.304179433913</v>
      </c>
      <c r="J28" s="152">
        <f>Исходные!T122</f>
        <v>14820.193536031045</v>
      </c>
      <c r="L28" s="65">
        <f>AVERAGE(B28:K28)</f>
        <v>16991.08799461948</v>
      </c>
    </row>
    <row r="29" spans="1:12" ht="18">
      <c r="A29" s="65" t="s">
        <v>75</v>
      </c>
      <c r="B29" s="65">
        <f>Исходные!L123</f>
        <v>24978.3</v>
      </c>
      <c r="C29" s="65">
        <f>Исходные!M123</f>
        <v>56814.088799999998</v>
      </c>
      <c r="D29" s="65">
        <f>Исходные!N123</f>
        <v>72396.912305599995</v>
      </c>
      <c r="E29" s="65">
        <f>Исходные!O123</f>
        <v>89386.45218367521</v>
      </c>
      <c r="F29" s="160">
        <f>Исходные!P123</f>
        <v>107683.84076670144</v>
      </c>
      <c r="G29" s="160">
        <f>Исходные!Q123</f>
        <v>112165.26442488005</v>
      </c>
      <c r="H29" s="160">
        <f>Исходные!R123</f>
        <v>116822.96112122899</v>
      </c>
      <c r="I29" s="160">
        <f>Исходные!S123</f>
        <v>122357.578024043</v>
      </c>
      <c r="J29" s="160">
        <f>Исходные!T123</f>
        <v>127528.02766434164</v>
      </c>
      <c r="L29" s="65">
        <f>AVERAGE(B29:J29)</f>
        <v>92237.047254496705</v>
      </c>
    </row>
    <row r="30" spans="1:12" ht="18">
      <c r="A30" s="65" t="s">
        <v>132</v>
      </c>
      <c r="B30" s="64">
        <f>B29/B24</f>
        <v>0.33754459459459457</v>
      </c>
      <c r="C30" s="64">
        <f>C29/C24</f>
        <v>0.42826842152872002</v>
      </c>
      <c r="D30" s="64">
        <f>D29/D24</f>
        <v>0.40988587421855094</v>
      </c>
      <c r="E30" s="64">
        <f>E29/E24</f>
        <v>0.4049858513634107</v>
      </c>
      <c r="F30" s="64">
        <f t="shared" ref="F30:J30" si="11">F29/F24</f>
        <v>0.40670710717491199</v>
      </c>
      <c r="G30" s="64">
        <f t="shared" si="11"/>
        <v>0.42363283009736774</v>
      </c>
      <c r="H30" s="64">
        <f t="shared" si="11"/>
        <v>0.4412243121245949</v>
      </c>
      <c r="I30" s="64">
        <f t="shared" si="11"/>
        <v>0.46193588804002944</v>
      </c>
      <c r="J30" s="64">
        <f t="shared" si="11"/>
        <v>0.48145585798981289</v>
      </c>
      <c r="L30" s="65">
        <f>AVERAGE(B30:J30)</f>
        <v>0.42173785968133259</v>
      </c>
    </row>
    <row r="31" spans="1:12" ht="19" thickBot="1">
      <c r="F31" s="45"/>
    </row>
    <row r="32" spans="1:12" ht="19" thickBot="1">
      <c r="A32" s="62" t="s">
        <v>133</v>
      </c>
      <c r="B32" t="s">
        <v>134</v>
      </c>
      <c r="F32" s="63"/>
    </row>
    <row r="33" spans="1:12" ht="19" thickBot="1">
      <c r="A33" s="150" t="str">
        <f>Исходные!A53</f>
        <v xml:space="preserve">Наименование </v>
      </c>
      <c r="B33" s="147" t="s">
        <v>69</v>
      </c>
      <c r="C33" s="147">
        <v>2022</v>
      </c>
      <c r="D33" s="147" t="s">
        <v>191</v>
      </c>
      <c r="E33" s="147">
        <v>2023</v>
      </c>
      <c r="F33" s="147" t="s">
        <v>192</v>
      </c>
      <c r="G33" s="147">
        <v>2024</v>
      </c>
      <c r="H33" s="147" t="s">
        <v>168</v>
      </c>
      <c r="I33" s="147">
        <v>2025</v>
      </c>
      <c r="J33" s="147" t="s">
        <v>169</v>
      </c>
      <c r="L33" s="24" t="s">
        <v>136</v>
      </c>
    </row>
    <row r="34" spans="1:12" s="24" customFormat="1" ht="18">
      <c r="A34" s="64" t="str">
        <f>Исходные!A55</f>
        <v>Агро ДКВ 1, кг</v>
      </c>
      <c r="B34" s="306">
        <f>Исходные!B55</f>
        <v>0</v>
      </c>
      <c r="C34" s="306">
        <f>Исходные!C55</f>
        <v>4</v>
      </c>
      <c r="D34" s="306">
        <f>Исходные!D55</f>
        <v>4.16</v>
      </c>
      <c r="E34" s="306">
        <f>Исходные!E55</f>
        <v>4.3264000000000005</v>
      </c>
      <c r="F34" s="306">
        <f>Исходные!F55</f>
        <v>4.4994560000000003</v>
      </c>
      <c r="G34" s="306">
        <f>Исходные!G55</f>
        <v>4.6794342400000009</v>
      </c>
      <c r="H34" s="306">
        <f>Исходные!H55</f>
        <v>4.8666116096000014</v>
      </c>
      <c r="I34" s="306">
        <f>Исходные!I55</f>
        <v>5.0612760739840015</v>
      </c>
      <c r="J34" s="306">
        <f>Исходные!J55</f>
        <v>5.2637271169433619</v>
      </c>
      <c r="L34" s="65">
        <f>AVERAGE(B34:E34)</f>
        <v>3.1215999999999999</v>
      </c>
    </row>
    <row r="35" spans="1:12" s="24" customFormat="1" ht="18">
      <c r="A35" s="64" t="str">
        <f>Исходные!A56</f>
        <v>Агро ДКВ 2, кг</v>
      </c>
      <c r="B35" s="306">
        <f>Исходные!B56</f>
        <v>0</v>
      </c>
      <c r="C35" s="306">
        <f>Исходные!C56</f>
        <v>4</v>
      </c>
      <c r="D35" s="306">
        <f>Исходные!D56</f>
        <v>4.16</v>
      </c>
      <c r="E35" s="306">
        <f>Исходные!E56</f>
        <v>4.3264000000000005</v>
      </c>
      <c r="F35" s="306">
        <f>Исходные!F56</f>
        <v>4.4994560000000003</v>
      </c>
      <c r="G35" s="306">
        <f>Исходные!G56</f>
        <v>4.6794342400000009</v>
      </c>
      <c r="H35" s="306">
        <f>Исходные!H56</f>
        <v>4.8666116096000014</v>
      </c>
      <c r="I35" s="306">
        <f>Исходные!I56</f>
        <v>5.0612760739840015</v>
      </c>
      <c r="J35" s="306">
        <f>Исходные!J56</f>
        <v>5.2637271169433619</v>
      </c>
      <c r="L35" s="196">
        <f>AVERAGE(B35:E35)</f>
        <v>3.1215999999999999</v>
      </c>
    </row>
    <row r="36" spans="1:12" s="24" customFormat="1" ht="18">
      <c r="A36" s="64" t="str">
        <f>Исходные!A57</f>
        <v>Агро ДКВ экспорт, кг</v>
      </c>
      <c r="B36" s="306">
        <f>Исходные!B57</f>
        <v>0</v>
      </c>
      <c r="C36" s="306">
        <f>Исходные!C57</f>
        <v>0</v>
      </c>
      <c r="D36" s="306">
        <f>Исходные!D57</f>
        <v>10</v>
      </c>
      <c r="E36" s="306">
        <f>Исходные!E57</f>
        <v>10.4</v>
      </c>
      <c r="F36" s="306">
        <f>Исходные!F57</f>
        <v>10.816000000000001</v>
      </c>
      <c r="G36" s="306">
        <f>Исходные!G57</f>
        <v>11.248640000000002</v>
      </c>
      <c r="H36" s="306">
        <f>Исходные!H57</f>
        <v>11.698585600000003</v>
      </c>
      <c r="I36" s="306">
        <f>Исходные!I57</f>
        <v>12.166529024000004</v>
      </c>
      <c r="J36" s="306">
        <f>Исходные!J57</f>
        <v>12.653190184960005</v>
      </c>
      <c r="L36" s="196">
        <f>AVERAGE(B36:E36)</f>
        <v>5.0999999999999996</v>
      </c>
    </row>
    <row r="37" spans="1:12" s="24" customFormat="1" ht="18">
      <c r="A37" s="64" t="str">
        <f>Исходные!A58</f>
        <v>БАД диабет</v>
      </c>
      <c r="B37" s="306">
        <f>Исходные!B59</f>
        <v>0.4</v>
      </c>
      <c r="C37" s="306">
        <f>Исходные!C58</f>
        <v>0.41600000000000004</v>
      </c>
      <c r="D37" s="306">
        <f>Исходные!D58</f>
        <v>0.43264000000000008</v>
      </c>
      <c r="E37" s="306">
        <f>Исходные!E58</f>
        <v>0.44994560000000011</v>
      </c>
      <c r="F37" s="306">
        <f>Исходные!F58</f>
        <v>0.46794342400000011</v>
      </c>
      <c r="G37" s="306">
        <f>Исходные!G58</f>
        <v>0.48666116096000012</v>
      </c>
      <c r="H37" s="306">
        <f>Исходные!H58</f>
        <v>0.50612760739840013</v>
      </c>
      <c r="I37" s="306">
        <f>Исходные!I58</f>
        <v>0.52637271169433619</v>
      </c>
      <c r="J37" s="306">
        <f>Исходные!J58</f>
        <v>0.54742762016210966</v>
      </c>
      <c r="L37" s="196">
        <f>AVERAGE(B37:E37)</f>
        <v>0.42464640000000009</v>
      </c>
    </row>
    <row r="38" spans="1:12" s="24" customFormat="1" ht="18">
      <c r="A38" s="64" t="str">
        <f>Исходные!A60</f>
        <v>БАД спорт</v>
      </c>
      <c r="B38" s="306">
        <f>Исходные!B60</f>
        <v>0.6</v>
      </c>
      <c r="C38" s="306">
        <f>Исходные!C60</f>
        <v>0.624</v>
      </c>
      <c r="D38" s="306">
        <f>Исходные!D60</f>
        <v>0.64895999999999998</v>
      </c>
      <c r="E38" s="306">
        <f>Исходные!E60</f>
        <v>0.67491840000000003</v>
      </c>
      <c r="F38" s="306">
        <f>Исходные!F60</f>
        <v>0.70191513600000011</v>
      </c>
      <c r="G38" s="306">
        <f>Исходные!G60</f>
        <v>0.72999174144000012</v>
      </c>
      <c r="H38" s="306">
        <f>Исходные!H60</f>
        <v>0.75919141109760013</v>
      </c>
      <c r="I38" s="306">
        <f>Исходные!I60</f>
        <v>0.78955906754150418</v>
      </c>
      <c r="J38" s="306">
        <f>Исходные!J60</f>
        <v>0.82114143024316433</v>
      </c>
      <c r="L38" s="196">
        <f>AVERAGE(B38:E38)</f>
        <v>0.63696960000000002</v>
      </c>
    </row>
    <row r="39" spans="1:12" s="24" customFormat="1" ht="18">
      <c r="A39"/>
      <c r="B39" s="108">
        <f>SUM(B34:B38)</f>
        <v>1</v>
      </c>
      <c r="C39" s="108">
        <f t="shared" ref="C39:J39" si="12">SUM(C34:C38)</f>
        <v>9.0400000000000009</v>
      </c>
      <c r="D39" s="108">
        <f t="shared" si="12"/>
        <v>19.401599999999998</v>
      </c>
      <c r="E39" s="108">
        <f t="shared" si="12"/>
        <v>20.177664</v>
      </c>
      <c r="F39" s="108">
        <f t="shared" si="12"/>
        <v>20.984770560000001</v>
      </c>
      <c r="G39" s="108">
        <f t="shared" si="12"/>
        <v>21.824161382400003</v>
      </c>
      <c r="H39" s="108">
        <f t="shared" si="12"/>
        <v>22.697127837696009</v>
      </c>
      <c r="I39" s="108">
        <f t="shared" si="12"/>
        <v>23.605012951203847</v>
      </c>
      <c r="J39" s="108">
        <f t="shared" si="12"/>
        <v>24.549213469252003</v>
      </c>
      <c r="L39" s="192">
        <f>AVERAGE(B39:J39)</f>
        <v>18.142172244505765</v>
      </c>
    </row>
    <row r="40" spans="1:12">
      <c r="F40" s="24"/>
      <c r="G40" s="24"/>
      <c r="H40" s="24"/>
      <c r="I40" s="24"/>
      <c r="J40" s="24"/>
      <c r="L40" s="24" t="s">
        <v>136</v>
      </c>
    </row>
    <row r="41" spans="1:12" ht="18">
      <c r="A41" s="64" t="s">
        <v>137</v>
      </c>
      <c r="B41" s="192">
        <f>(B24*B39*B28)/(B24*B39-B29)</f>
        <v>61110.81662202657</v>
      </c>
      <c r="C41" s="196">
        <f t="shared" ref="C41:J41" si="13">(C24*C39*C28)/(C24*C39-C29)</f>
        <v>23210.666799205857</v>
      </c>
      <c r="D41" s="196">
        <f t="shared" si="13"/>
        <v>11332.160330768853</v>
      </c>
      <c r="E41" s="196">
        <f t="shared" si="13"/>
        <v>11875.493407228223</v>
      </c>
      <c r="F41" s="196">
        <f t="shared" si="13"/>
        <v>12451.369844968263</v>
      </c>
      <c r="G41" s="196">
        <f t="shared" si="13"/>
        <v>13258.56594939521</v>
      </c>
      <c r="H41" s="196">
        <f t="shared" si="13"/>
        <v>13714.499445012478</v>
      </c>
      <c r="I41" s="196">
        <f t="shared" si="13"/>
        <v>14398.065653466638</v>
      </c>
      <c r="J41" s="196">
        <f t="shared" si="13"/>
        <v>15116.659418300278</v>
      </c>
      <c r="L41" s="65">
        <f>AVERAGE(B41:J41)</f>
        <v>19607.588607819154</v>
      </c>
    </row>
    <row r="42" spans="1:12" ht="18">
      <c r="A42" s="64" t="s">
        <v>233</v>
      </c>
      <c r="B42" s="192">
        <f>B28/(B39-B30)</f>
        <v>61110.816622026563</v>
      </c>
      <c r="C42" s="196">
        <f t="shared" ref="C42:J42" si="14">C28/(C39-C30)</f>
        <v>2567.5516370802934</v>
      </c>
      <c r="D42" s="196">
        <f t="shared" si="14"/>
        <v>584.08380395270774</v>
      </c>
      <c r="E42" s="196">
        <f t="shared" si="14"/>
        <v>588.54649414462563</v>
      </c>
      <c r="F42" s="196">
        <f t="shared" si="14"/>
        <v>593.35267971441965</v>
      </c>
      <c r="G42" s="196">
        <f t="shared" si="14"/>
        <v>607.51777431812434</v>
      </c>
      <c r="H42" s="196">
        <f t="shared" si="14"/>
        <v>604.23942373162583</v>
      </c>
      <c r="I42" s="196">
        <f t="shared" si="14"/>
        <v>609.95796457431481</v>
      </c>
      <c r="J42" s="196">
        <f t="shared" si="14"/>
        <v>615.76960244506245</v>
      </c>
      <c r="L42" s="65">
        <f>AVERAGE(B42:E42)</f>
        <v>16212.749639301048</v>
      </c>
    </row>
    <row r="43" spans="1:12">
      <c r="A43" s="35"/>
      <c r="B43" s="35"/>
      <c r="C43" s="35"/>
      <c r="D43" s="24"/>
      <c r="E43" s="24"/>
      <c r="F43" s="24"/>
    </row>
    <row r="44" spans="1:12">
      <c r="A44" s="60" t="s">
        <v>139</v>
      </c>
      <c r="B44" s="35"/>
      <c r="C44" s="35"/>
      <c r="D44" s="24"/>
      <c r="E44" s="24"/>
      <c r="F44" s="24"/>
    </row>
    <row r="45" spans="1:12">
      <c r="A45" s="60" t="s">
        <v>140</v>
      </c>
      <c r="B45" s="66">
        <v>25</v>
      </c>
      <c r="C45" s="35"/>
      <c r="D45" s="24"/>
      <c r="E45" s="24"/>
      <c r="F45" s="24"/>
    </row>
    <row r="46" spans="1:12">
      <c r="A46" s="60" t="s">
        <v>141</v>
      </c>
      <c r="B46" s="84">
        <f>L30</f>
        <v>0.42173785968133259</v>
      </c>
      <c r="C46" s="35"/>
      <c r="D46" s="24"/>
      <c r="E46" s="24"/>
      <c r="F46" s="24"/>
    </row>
    <row r="47" spans="1:12">
      <c r="A47" s="35"/>
      <c r="B47" s="84">
        <f>L39</f>
        <v>18.142172244505765</v>
      </c>
      <c r="C47" s="35"/>
      <c r="D47" s="24"/>
      <c r="E47" s="24"/>
      <c r="F47" s="24"/>
    </row>
    <row r="48" spans="1:12" ht="16">
      <c r="A48" s="67" t="s">
        <v>142</v>
      </c>
      <c r="B48" s="35"/>
      <c r="C48" s="35"/>
      <c r="D48" s="24"/>
      <c r="E48" s="24"/>
      <c r="F48" s="24"/>
    </row>
    <row r="49" spans="1:6" ht="16">
      <c r="A49" s="71" t="s">
        <v>145</v>
      </c>
      <c r="B49" s="68" t="s">
        <v>72</v>
      </c>
      <c r="C49" s="68" t="s">
        <v>74</v>
      </c>
      <c r="D49" s="69"/>
      <c r="E49" s="68" t="s">
        <v>143</v>
      </c>
      <c r="F49" s="70" t="s">
        <v>144</v>
      </c>
    </row>
    <row r="50" spans="1:6">
      <c r="A50" s="75">
        <v>0</v>
      </c>
      <c r="B50" s="72" t="s">
        <v>146</v>
      </c>
      <c r="C50" s="72" t="s">
        <v>147</v>
      </c>
      <c r="D50" s="73"/>
      <c r="E50" s="72" t="s">
        <v>148</v>
      </c>
      <c r="F50" s="74" t="s">
        <v>149</v>
      </c>
    </row>
    <row r="51" spans="1:6" ht="19">
      <c r="A51" s="75">
        <v>1</v>
      </c>
      <c r="B51" s="76">
        <f>L28</f>
        <v>16991.08799461948</v>
      </c>
      <c r="C51" s="77">
        <f>A50*$B$5</f>
        <v>0</v>
      </c>
      <c r="D51" s="73"/>
      <c r="E51" s="78">
        <f>A50*$B$6</f>
        <v>0</v>
      </c>
      <c r="F51" s="79">
        <f>B51+C51</f>
        <v>16991.08799461948</v>
      </c>
    </row>
    <row r="52" spans="1:6" ht="19">
      <c r="A52" s="75">
        <f>A51+$B$45</f>
        <v>26</v>
      </c>
      <c r="B52" s="80">
        <f>B51</f>
        <v>16991.08799461948</v>
      </c>
      <c r="C52" s="85">
        <f t="shared" ref="C52:C115" si="15">A51*B$46</f>
        <v>0.42173785968133259</v>
      </c>
      <c r="D52" s="73"/>
      <c r="E52" s="78">
        <f t="shared" ref="E52:E83" si="16">A51*$B$47</f>
        <v>18.142172244505765</v>
      </c>
      <c r="F52" s="79">
        <f>B52+C52</f>
        <v>16991.50973247916</v>
      </c>
    </row>
    <row r="53" spans="1:6" ht="19">
      <c r="A53" s="75">
        <f t="shared" ref="A53:A116" si="17">A52+$B$45</f>
        <v>51</v>
      </c>
      <c r="B53" s="80">
        <f t="shared" ref="B53:B116" si="18">B52</f>
        <v>16991.08799461948</v>
      </c>
      <c r="C53" s="85">
        <f t="shared" si="15"/>
        <v>10.965184351714647</v>
      </c>
      <c r="D53" s="73"/>
      <c r="E53" s="78">
        <f t="shared" si="16"/>
        <v>471.69647835714989</v>
      </c>
      <c r="F53" s="79">
        <f t="shared" ref="F53:F115" si="19">B53+C53</f>
        <v>17002.053178971193</v>
      </c>
    </row>
    <row r="54" spans="1:6" ht="19">
      <c r="A54" s="75">
        <f t="shared" si="17"/>
        <v>76</v>
      </c>
      <c r="B54" s="80">
        <f t="shared" si="18"/>
        <v>16991.08799461948</v>
      </c>
      <c r="C54" s="85">
        <f t="shared" si="15"/>
        <v>21.508630843747962</v>
      </c>
      <c r="D54" s="73"/>
      <c r="E54" s="78">
        <f t="shared" si="16"/>
        <v>925.25078446979398</v>
      </c>
      <c r="F54" s="79">
        <f t="shared" si="19"/>
        <v>17012.596625463229</v>
      </c>
    </row>
    <row r="55" spans="1:6" ht="19">
      <c r="A55" s="75">
        <f t="shared" si="17"/>
        <v>101</v>
      </c>
      <c r="B55" s="80">
        <f t="shared" si="18"/>
        <v>16991.08799461948</v>
      </c>
      <c r="C55" s="85">
        <f t="shared" si="15"/>
        <v>32.052077335781277</v>
      </c>
      <c r="D55" s="73"/>
      <c r="E55" s="78">
        <f t="shared" si="16"/>
        <v>1378.8050905824382</v>
      </c>
      <c r="F55" s="79">
        <f t="shared" si="19"/>
        <v>17023.140071955262</v>
      </c>
    </row>
    <row r="56" spans="1:6" ht="19">
      <c r="A56" s="75">
        <f t="shared" si="17"/>
        <v>126</v>
      </c>
      <c r="B56" s="80">
        <f t="shared" si="18"/>
        <v>16991.08799461948</v>
      </c>
      <c r="C56" s="85">
        <f t="shared" si="15"/>
        <v>42.595523827814588</v>
      </c>
      <c r="D56" s="73"/>
      <c r="E56" s="78">
        <f t="shared" si="16"/>
        <v>1832.3593966950823</v>
      </c>
      <c r="F56" s="79">
        <f t="shared" si="19"/>
        <v>17033.683518447295</v>
      </c>
    </row>
    <row r="57" spans="1:6" ht="19">
      <c r="A57" s="75">
        <f t="shared" si="17"/>
        <v>151</v>
      </c>
      <c r="B57" s="80">
        <f t="shared" si="18"/>
        <v>16991.08799461948</v>
      </c>
      <c r="C57" s="85">
        <f t="shared" si="15"/>
        <v>53.138970319847907</v>
      </c>
      <c r="D57" s="73"/>
      <c r="E57" s="78">
        <f t="shared" si="16"/>
        <v>2285.9137028077266</v>
      </c>
      <c r="F57" s="79">
        <f t="shared" si="19"/>
        <v>17044.226964939327</v>
      </c>
    </row>
    <row r="58" spans="1:6" ht="19">
      <c r="A58" s="75">
        <f t="shared" si="17"/>
        <v>176</v>
      </c>
      <c r="B58" s="80">
        <f t="shared" si="18"/>
        <v>16991.08799461948</v>
      </c>
      <c r="C58" s="85">
        <f t="shared" si="15"/>
        <v>63.682416811881225</v>
      </c>
      <c r="D58" s="73"/>
      <c r="E58" s="78">
        <f t="shared" si="16"/>
        <v>2739.4680089203707</v>
      </c>
      <c r="F58" s="79">
        <f t="shared" si="19"/>
        <v>17054.77041143136</v>
      </c>
    </row>
    <row r="59" spans="1:6" ht="19">
      <c r="A59" s="75">
        <f t="shared" si="17"/>
        <v>201</v>
      </c>
      <c r="B59" s="80">
        <f t="shared" si="18"/>
        <v>16991.08799461948</v>
      </c>
      <c r="C59" s="85">
        <f t="shared" si="15"/>
        <v>74.225863303914537</v>
      </c>
      <c r="D59" s="73"/>
      <c r="E59" s="78">
        <f t="shared" si="16"/>
        <v>3193.0223150330148</v>
      </c>
      <c r="F59" s="79">
        <f t="shared" si="19"/>
        <v>17065.313857923393</v>
      </c>
    </row>
    <row r="60" spans="1:6" ht="19">
      <c r="A60" s="75">
        <f t="shared" si="17"/>
        <v>226</v>
      </c>
      <c r="B60" s="80">
        <f t="shared" si="18"/>
        <v>16991.08799461948</v>
      </c>
      <c r="C60" s="85">
        <f t="shared" si="15"/>
        <v>84.769309795947848</v>
      </c>
      <c r="D60" s="73"/>
      <c r="E60" s="78">
        <f t="shared" si="16"/>
        <v>3646.5766211456589</v>
      </c>
      <c r="F60" s="79">
        <f t="shared" si="19"/>
        <v>17075.857304415429</v>
      </c>
    </row>
    <row r="61" spans="1:6" ht="19">
      <c r="A61" s="75">
        <f t="shared" si="17"/>
        <v>251</v>
      </c>
      <c r="B61" s="80">
        <f t="shared" si="18"/>
        <v>16991.08799461948</v>
      </c>
      <c r="C61" s="85">
        <f t="shared" si="15"/>
        <v>95.312756287981159</v>
      </c>
      <c r="D61" s="73"/>
      <c r="E61" s="78">
        <f t="shared" si="16"/>
        <v>4100.130927258303</v>
      </c>
      <c r="F61" s="79">
        <f t="shared" si="19"/>
        <v>17086.400750907462</v>
      </c>
    </row>
    <row r="62" spans="1:6" ht="19">
      <c r="A62" s="75">
        <f t="shared" si="17"/>
        <v>276</v>
      </c>
      <c r="B62" s="80">
        <f t="shared" si="18"/>
        <v>16991.08799461948</v>
      </c>
      <c r="C62" s="85">
        <f t="shared" si="15"/>
        <v>105.85620278001448</v>
      </c>
      <c r="D62" s="73"/>
      <c r="E62" s="78">
        <f t="shared" si="16"/>
        <v>4553.6852333709467</v>
      </c>
      <c r="F62" s="79">
        <f t="shared" si="19"/>
        <v>17096.944197399494</v>
      </c>
    </row>
    <row r="63" spans="1:6" ht="19">
      <c r="A63" s="75">
        <f t="shared" si="17"/>
        <v>301</v>
      </c>
      <c r="B63" s="80">
        <f t="shared" si="18"/>
        <v>16991.08799461948</v>
      </c>
      <c r="C63" s="85">
        <f t="shared" si="15"/>
        <v>116.3996492720478</v>
      </c>
      <c r="D63" s="73"/>
      <c r="E63" s="78">
        <f t="shared" si="16"/>
        <v>5007.2395394835912</v>
      </c>
      <c r="F63" s="79">
        <f t="shared" si="19"/>
        <v>17107.487643891527</v>
      </c>
    </row>
    <row r="64" spans="1:6" ht="19">
      <c r="A64" s="75">
        <f t="shared" si="17"/>
        <v>326</v>
      </c>
      <c r="B64" s="80">
        <f t="shared" si="18"/>
        <v>16991.08799461948</v>
      </c>
      <c r="C64" s="85">
        <f t="shared" si="15"/>
        <v>126.94309576408111</v>
      </c>
      <c r="D64" s="73"/>
      <c r="E64" s="78">
        <f t="shared" si="16"/>
        <v>5460.7938455962358</v>
      </c>
      <c r="F64" s="79">
        <f t="shared" si="19"/>
        <v>17118.03109038356</v>
      </c>
    </row>
    <row r="65" spans="1:6" ht="19">
      <c r="A65" s="75">
        <f t="shared" si="17"/>
        <v>351</v>
      </c>
      <c r="B65" s="80">
        <f t="shared" si="18"/>
        <v>16991.08799461948</v>
      </c>
      <c r="C65" s="85">
        <f t="shared" si="15"/>
        <v>137.48654225611443</v>
      </c>
      <c r="D65" s="73"/>
      <c r="E65" s="78">
        <f t="shared" si="16"/>
        <v>5914.3481517088794</v>
      </c>
      <c r="F65" s="79">
        <f t="shared" si="19"/>
        <v>17128.574536875596</v>
      </c>
    </row>
    <row r="66" spans="1:6" ht="19">
      <c r="A66" s="75">
        <f t="shared" si="17"/>
        <v>376</v>
      </c>
      <c r="B66" s="80">
        <f t="shared" si="18"/>
        <v>16991.08799461948</v>
      </c>
      <c r="C66" s="85">
        <f t="shared" si="15"/>
        <v>148.02998874814773</v>
      </c>
      <c r="D66" s="73"/>
      <c r="E66" s="78">
        <f t="shared" si="16"/>
        <v>6367.902457821524</v>
      </c>
      <c r="F66" s="79">
        <f t="shared" si="19"/>
        <v>17139.117983367629</v>
      </c>
    </row>
    <row r="67" spans="1:6" ht="19">
      <c r="A67" s="75">
        <f t="shared" si="17"/>
        <v>401</v>
      </c>
      <c r="B67" s="80">
        <f t="shared" si="18"/>
        <v>16991.08799461948</v>
      </c>
      <c r="C67" s="85">
        <f t="shared" si="15"/>
        <v>158.57343524018106</v>
      </c>
      <c r="D67" s="73"/>
      <c r="E67" s="78">
        <f t="shared" si="16"/>
        <v>6821.4567639341676</v>
      </c>
      <c r="F67" s="79">
        <f t="shared" si="19"/>
        <v>17149.661429859661</v>
      </c>
    </row>
    <row r="68" spans="1:6" ht="19">
      <c r="A68" s="75">
        <f t="shared" si="17"/>
        <v>426</v>
      </c>
      <c r="B68" s="80">
        <f t="shared" si="18"/>
        <v>16991.08799461948</v>
      </c>
      <c r="C68" s="85">
        <f t="shared" si="15"/>
        <v>169.11688173221438</v>
      </c>
      <c r="D68" s="73"/>
      <c r="E68" s="78">
        <f t="shared" si="16"/>
        <v>7275.0110700468122</v>
      </c>
      <c r="F68" s="79">
        <f t="shared" si="19"/>
        <v>17160.204876351694</v>
      </c>
    </row>
    <row r="69" spans="1:6" ht="19">
      <c r="A69" s="75">
        <f t="shared" si="17"/>
        <v>451</v>
      </c>
      <c r="B69" s="81">
        <f t="shared" si="18"/>
        <v>16991.08799461948</v>
      </c>
      <c r="C69" s="85">
        <f t="shared" si="15"/>
        <v>179.66032822424768</v>
      </c>
      <c r="D69" s="82"/>
      <c r="E69" s="78">
        <f t="shared" si="16"/>
        <v>7728.5653761594558</v>
      </c>
      <c r="F69" s="83">
        <f t="shared" si="19"/>
        <v>17170.748322843727</v>
      </c>
    </row>
    <row r="70" spans="1:6" ht="19">
      <c r="A70" s="75">
        <f t="shared" si="17"/>
        <v>476</v>
      </c>
      <c r="B70" s="80">
        <f t="shared" si="18"/>
        <v>16991.08799461948</v>
      </c>
      <c r="C70" s="85">
        <f t="shared" si="15"/>
        <v>190.203774716281</v>
      </c>
      <c r="D70" s="73"/>
      <c r="E70" s="78">
        <f t="shared" si="16"/>
        <v>8182.1196822721004</v>
      </c>
      <c r="F70" s="79">
        <f t="shared" si="19"/>
        <v>17181.291769335759</v>
      </c>
    </row>
    <row r="71" spans="1:6" ht="19">
      <c r="A71" s="75">
        <f t="shared" si="17"/>
        <v>501</v>
      </c>
      <c r="B71" s="81">
        <f t="shared" si="18"/>
        <v>16991.08799461948</v>
      </c>
      <c r="C71" s="85">
        <f t="shared" si="15"/>
        <v>200.74722120831433</v>
      </c>
      <c r="D71" s="82"/>
      <c r="E71" s="78">
        <f t="shared" si="16"/>
        <v>8635.673988384744</v>
      </c>
      <c r="F71" s="83">
        <f t="shared" si="19"/>
        <v>17191.835215827796</v>
      </c>
    </row>
    <row r="72" spans="1:6" ht="19">
      <c r="A72" s="75">
        <f t="shared" si="17"/>
        <v>526</v>
      </c>
      <c r="B72" s="80">
        <f t="shared" si="18"/>
        <v>16991.08799461948</v>
      </c>
      <c r="C72" s="85">
        <f t="shared" si="15"/>
        <v>211.29066770034763</v>
      </c>
      <c r="D72" s="73"/>
      <c r="E72" s="78">
        <f t="shared" si="16"/>
        <v>9089.2282944973886</v>
      </c>
      <c r="F72" s="79">
        <f t="shared" si="19"/>
        <v>17202.378662319828</v>
      </c>
    </row>
    <row r="73" spans="1:6" ht="19">
      <c r="A73" s="75">
        <f t="shared" si="17"/>
        <v>551</v>
      </c>
      <c r="B73" s="81">
        <f t="shared" si="18"/>
        <v>16991.08799461948</v>
      </c>
      <c r="C73" s="85">
        <f t="shared" si="15"/>
        <v>221.83411419238095</v>
      </c>
      <c r="D73" s="82"/>
      <c r="E73" s="78">
        <f t="shared" si="16"/>
        <v>9542.7826006100331</v>
      </c>
      <c r="F73" s="83">
        <f t="shared" si="19"/>
        <v>17212.922108811861</v>
      </c>
    </row>
    <row r="74" spans="1:6" ht="19">
      <c r="A74" s="75">
        <f t="shared" si="17"/>
        <v>576</v>
      </c>
      <c r="B74" s="80">
        <f t="shared" si="18"/>
        <v>16991.08799461948</v>
      </c>
      <c r="C74" s="85">
        <f t="shared" si="15"/>
        <v>232.37756068441425</v>
      </c>
      <c r="D74" s="73"/>
      <c r="E74" s="78">
        <f t="shared" si="16"/>
        <v>9996.3369067226758</v>
      </c>
      <c r="F74" s="79">
        <f t="shared" si="19"/>
        <v>17223.465555303894</v>
      </c>
    </row>
    <row r="75" spans="1:6" ht="19">
      <c r="A75" s="75">
        <f t="shared" si="17"/>
        <v>601</v>
      </c>
      <c r="B75" s="81">
        <f t="shared" si="18"/>
        <v>16991.08799461948</v>
      </c>
      <c r="C75" s="85">
        <f t="shared" si="15"/>
        <v>242.92100717644757</v>
      </c>
      <c r="D75" s="82"/>
      <c r="E75" s="78">
        <f t="shared" si="16"/>
        <v>10449.89121283532</v>
      </c>
      <c r="F75" s="83">
        <f t="shared" si="19"/>
        <v>17234.009001795926</v>
      </c>
    </row>
    <row r="76" spans="1:6" ht="19">
      <c r="A76" s="75">
        <f t="shared" si="17"/>
        <v>626</v>
      </c>
      <c r="B76" s="80">
        <f t="shared" si="18"/>
        <v>16991.08799461948</v>
      </c>
      <c r="C76" s="85">
        <f t="shared" si="15"/>
        <v>253.4644536684809</v>
      </c>
      <c r="D76" s="73"/>
      <c r="E76" s="78">
        <f t="shared" si="16"/>
        <v>10903.445518947965</v>
      </c>
      <c r="F76" s="79">
        <f t="shared" si="19"/>
        <v>17244.552448287959</v>
      </c>
    </row>
    <row r="77" spans="1:6" ht="19">
      <c r="A77" s="75">
        <f t="shared" si="17"/>
        <v>651</v>
      </c>
      <c r="B77" s="81">
        <f t="shared" si="18"/>
        <v>16991.08799461948</v>
      </c>
      <c r="C77" s="85">
        <f t="shared" si="15"/>
        <v>264.00790016051423</v>
      </c>
      <c r="D77" s="82"/>
      <c r="E77" s="78">
        <f t="shared" si="16"/>
        <v>11356.99982506061</v>
      </c>
      <c r="F77" s="83">
        <f t="shared" si="19"/>
        <v>17255.095894779995</v>
      </c>
    </row>
    <row r="78" spans="1:6" ht="19">
      <c r="A78" s="75">
        <f t="shared" si="17"/>
        <v>676</v>
      </c>
      <c r="B78" s="80">
        <f t="shared" si="18"/>
        <v>16991.08799461948</v>
      </c>
      <c r="C78" s="85">
        <f t="shared" si="15"/>
        <v>274.55134665254752</v>
      </c>
      <c r="D78" s="73"/>
      <c r="E78" s="78">
        <f t="shared" si="16"/>
        <v>11810.554131173254</v>
      </c>
      <c r="F78" s="79">
        <f t="shared" si="19"/>
        <v>17265.639341272028</v>
      </c>
    </row>
    <row r="79" spans="1:6" ht="19">
      <c r="A79" s="75">
        <f t="shared" si="17"/>
        <v>701</v>
      </c>
      <c r="B79" s="81">
        <f t="shared" si="18"/>
        <v>16991.08799461948</v>
      </c>
      <c r="C79" s="85">
        <f t="shared" si="15"/>
        <v>285.09479314458082</v>
      </c>
      <c r="D79" s="82"/>
      <c r="E79" s="78">
        <f t="shared" si="16"/>
        <v>12264.108437285897</v>
      </c>
      <c r="F79" s="83">
        <f t="shared" si="19"/>
        <v>17276.182787764061</v>
      </c>
    </row>
    <row r="80" spans="1:6" ht="19">
      <c r="A80" s="75">
        <f t="shared" si="17"/>
        <v>726</v>
      </c>
      <c r="B80" s="80">
        <f t="shared" si="18"/>
        <v>16991.08799461948</v>
      </c>
      <c r="C80" s="85">
        <f t="shared" si="15"/>
        <v>295.63823963661417</v>
      </c>
      <c r="D80" s="73"/>
      <c r="E80" s="78">
        <f t="shared" si="16"/>
        <v>12717.662743398541</v>
      </c>
      <c r="F80" s="79">
        <f t="shared" si="19"/>
        <v>17286.726234256093</v>
      </c>
    </row>
    <row r="81" spans="1:6" ht="19">
      <c r="A81" s="75">
        <f t="shared" si="17"/>
        <v>751</v>
      </c>
      <c r="B81" s="81">
        <f t="shared" si="18"/>
        <v>16991.08799461948</v>
      </c>
      <c r="C81" s="85">
        <f t="shared" si="15"/>
        <v>306.18168612864747</v>
      </c>
      <c r="D81" s="82"/>
      <c r="E81" s="78">
        <f t="shared" si="16"/>
        <v>13171.217049511186</v>
      </c>
      <c r="F81" s="83">
        <f t="shared" si="19"/>
        <v>17297.269680748126</v>
      </c>
    </row>
    <row r="82" spans="1:6" ht="19">
      <c r="A82" s="75">
        <f t="shared" si="17"/>
        <v>776</v>
      </c>
      <c r="B82" s="80">
        <f t="shared" si="18"/>
        <v>16991.08799461948</v>
      </c>
      <c r="C82" s="85">
        <f t="shared" si="15"/>
        <v>316.72513262068077</v>
      </c>
      <c r="D82" s="73"/>
      <c r="E82" s="78">
        <f t="shared" si="16"/>
        <v>13624.77135562383</v>
      </c>
      <c r="F82" s="79">
        <f t="shared" si="19"/>
        <v>17307.813127240162</v>
      </c>
    </row>
    <row r="83" spans="1:6" ht="19">
      <c r="A83" s="75">
        <f t="shared" si="17"/>
        <v>801</v>
      </c>
      <c r="B83" s="81">
        <f t="shared" si="18"/>
        <v>16991.08799461948</v>
      </c>
      <c r="C83" s="85">
        <f t="shared" si="15"/>
        <v>327.26857911271406</v>
      </c>
      <c r="D83" s="82"/>
      <c r="E83" s="78">
        <f t="shared" si="16"/>
        <v>14078.325661736473</v>
      </c>
      <c r="F83" s="83">
        <f t="shared" si="19"/>
        <v>17318.356573732195</v>
      </c>
    </row>
    <row r="84" spans="1:6" ht="19">
      <c r="A84" s="75">
        <f t="shared" si="17"/>
        <v>826</v>
      </c>
      <c r="B84" s="80">
        <f t="shared" si="18"/>
        <v>16991.08799461948</v>
      </c>
      <c r="C84" s="85">
        <f t="shared" si="15"/>
        <v>337.81202560474742</v>
      </c>
      <c r="D84" s="73"/>
      <c r="E84" s="78">
        <f t="shared" ref="E84:E115" si="20">A83*$B$47</f>
        <v>14531.879967849118</v>
      </c>
      <c r="F84" s="79">
        <f t="shared" si="19"/>
        <v>17328.900020224228</v>
      </c>
    </row>
    <row r="85" spans="1:6" ht="19">
      <c r="A85" s="75">
        <f t="shared" si="17"/>
        <v>851</v>
      </c>
      <c r="B85" s="81">
        <f t="shared" si="18"/>
        <v>16991.08799461948</v>
      </c>
      <c r="C85" s="85">
        <f t="shared" si="15"/>
        <v>348.35547209678072</v>
      </c>
      <c r="D85" s="82"/>
      <c r="E85" s="78">
        <f t="shared" si="20"/>
        <v>14985.434273961762</v>
      </c>
      <c r="F85" s="83">
        <f t="shared" si="19"/>
        <v>17339.44346671626</v>
      </c>
    </row>
    <row r="86" spans="1:6" ht="19">
      <c r="A86" s="75">
        <f t="shared" si="17"/>
        <v>876</v>
      </c>
      <c r="B86" s="80">
        <f t="shared" si="18"/>
        <v>16991.08799461948</v>
      </c>
      <c r="C86" s="85">
        <f t="shared" si="15"/>
        <v>358.89891858881401</v>
      </c>
      <c r="D86" s="73"/>
      <c r="E86" s="78">
        <f t="shared" si="20"/>
        <v>15438.988580074407</v>
      </c>
      <c r="F86" s="79">
        <f t="shared" si="19"/>
        <v>17349.986913208293</v>
      </c>
    </row>
    <row r="87" spans="1:6" ht="19">
      <c r="A87" s="75">
        <f t="shared" si="17"/>
        <v>901</v>
      </c>
      <c r="B87" s="81">
        <f t="shared" si="18"/>
        <v>16991.08799461948</v>
      </c>
      <c r="C87" s="85">
        <f t="shared" si="15"/>
        <v>369.44236508084737</v>
      </c>
      <c r="D87" s="82"/>
      <c r="E87" s="78">
        <f t="shared" si="20"/>
        <v>15892.54288618705</v>
      </c>
      <c r="F87" s="83">
        <f t="shared" si="19"/>
        <v>17360.530359700326</v>
      </c>
    </row>
    <row r="88" spans="1:6" ht="19">
      <c r="A88" s="75">
        <f t="shared" si="17"/>
        <v>926</v>
      </c>
      <c r="B88" s="80">
        <f t="shared" si="18"/>
        <v>16991.08799461948</v>
      </c>
      <c r="C88" s="85">
        <f t="shared" si="15"/>
        <v>379.98581157288066</v>
      </c>
      <c r="D88" s="73"/>
      <c r="E88" s="78">
        <f t="shared" si="20"/>
        <v>16346.097192299694</v>
      </c>
      <c r="F88" s="79">
        <f t="shared" si="19"/>
        <v>17371.073806192362</v>
      </c>
    </row>
    <row r="89" spans="1:6" ht="19">
      <c r="A89" s="75">
        <f t="shared" si="17"/>
        <v>951</v>
      </c>
      <c r="B89" s="81">
        <f t="shared" si="18"/>
        <v>16991.08799461948</v>
      </c>
      <c r="C89" s="85">
        <f t="shared" si="15"/>
        <v>390.52925806491396</v>
      </c>
      <c r="D89" s="82"/>
      <c r="E89" s="78">
        <f t="shared" si="20"/>
        <v>16799.651498412339</v>
      </c>
      <c r="F89" s="83">
        <f t="shared" si="19"/>
        <v>17381.617252684395</v>
      </c>
    </row>
    <row r="90" spans="1:6" ht="19">
      <c r="A90" s="75">
        <f t="shared" si="17"/>
        <v>976</v>
      </c>
      <c r="B90" s="80">
        <f t="shared" si="18"/>
        <v>16991.08799461948</v>
      </c>
      <c r="C90" s="85">
        <f t="shared" si="15"/>
        <v>401.07270455694731</v>
      </c>
      <c r="D90" s="73"/>
      <c r="E90" s="78">
        <f t="shared" si="20"/>
        <v>17253.205804524983</v>
      </c>
      <c r="F90" s="79">
        <f t="shared" si="19"/>
        <v>17392.160699176427</v>
      </c>
    </row>
    <row r="91" spans="1:6" ht="19">
      <c r="A91" s="75">
        <f t="shared" si="17"/>
        <v>1001</v>
      </c>
      <c r="B91" s="81">
        <f t="shared" si="18"/>
        <v>16991.08799461948</v>
      </c>
      <c r="C91" s="85">
        <f t="shared" si="15"/>
        <v>411.61615104898061</v>
      </c>
      <c r="D91" s="82"/>
      <c r="E91" s="78">
        <f t="shared" si="20"/>
        <v>17706.760110637628</v>
      </c>
      <c r="F91" s="83">
        <f t="shared" si="19"/>
        <v>17402.70414566846</v>
      </c>
    </row>
    <row r="92" spans="1:6" ht="19">
      <c r="A92" s="75">
        <f t="shared" si="17"/>
        <v>1026</v>
      </c>
      <c r="B92" s="80">
        <f t="shared" si="18"/>
        <v>16991.08799461948</v>
      </c>
      <c r="C92" s="85">
        <f t="shared" si="15"/>
        <v>422.15959754101391</v>
      </c>
      <c r="D92" s="73"/>
      <c r="E92" s="78">
        <f t="shared" si="20"/>
        <v>18160.314416750272</v>
      </c>
      <c r="F92" s="79">
        <f t="shared" si="19"/>
        <v>17413.247592160493</v>
      </c>
    </row>
    <row r="93" spans="1:6" ht="19">
      <c r="A93" s="75">
        <f t="shared" si="17"/>
        <v>1051</v>
      </c>
      <c r="B93" s="81">
        <f t="shared" si="18"/>
        <v>16991.08799461948</v>
      </c>
      <c r="C93" s="85">
        <f t="shared" si="15"/>
        <v>432.70304403304726</v>
      </c>
      <c r="D93" s="82"/>
      <c r="E93" s="78">
        <f t="shared" si="20"/>
        <v>18613.868722862917</v>
      </c>
      <c r="F93" s="83">
        <f t="shared" si="19"/>
        <v>17423.791038652525</v>
      </c>
    </row>
    <row r="94" spans="1:6" ht="19">
      <c r="A94" s="75">
        <f t="shared" si="17"/>
        <v>1076</v>
      </c>
      <c r="B94" s="80">
        <f t="shared" si="18"/>
        <v>16991.08799461948</v>
      </c>
      <c r="C94" s="85">
        <f t="shared" si="15"/>
        <v>443.24649052508056</v>
      </c>
      <c r="D94" s="73"/>
      <c r="E94" s="78">
        <f t="shared" si="20"/>
        <v>19067.423028975558</v>
      </c>
      <c r="F94" s="79">
        <f t="shared" si="19"/>
        <v>17434.334485144562</v>
      </c>
    </row>
    <row r="95" spans="1:6" ht="19">
      <c r="A95" s="75">
        <f t="shared" si="17"/>
        <v>1101</v>
      </c>
      <c r="B95" s="81">
        <f t="shared" si="18"/>
        <v>16991.08799461948</v>
      </c>
      <c r="C95" s="85">
        <f t="shared" si="15"/>
        <v>453.78993701711386</v>
      </c>
      <c r="D95" s="82"/>
      <c r="E95" s="78">
        <f t="shared" si="20"/>
        <v>19520.977335088202</v>
      </c>
      <c r="F95" s="83">
        <f t="shared" si="19"/>
        <v>17444.877931636594</v>
      </c>
    </row>
    <row r="96" spans="1:6" ht="19">
      <c r="A96" s="75">
        <f t="shared" si="17"/>
        <v>1126</v>
      </c>
      <c r="B96" s="80">
        <f t="shared" si="18"/>
        <v>16991.08799461948</v>
      </c>
      <c r="C96" s="85">
        <f t="shared" si="15"/>
        <v>464.33338350914721</v>
      </c>
      <c r="D96" s="73"/>
      <c r="E96" s="78">
        <f t="shared" si="20"/>
        <v>19974.531641200847</v>
      </c>
      <c r="F96" s="79">
        <f t="shared" si="19"/>
        <v>17455.421378128627</v>
      </c>
    </row>
    <row r="97" spans="1:6" ht="19">
      <c r="A97" s="75">
        <f t="shared" si="17"/>
        <v>1151</v>
      </c>
      <c r="B97" s="81">
        <f t="shared" si="18"/>
        <v>16991.08799461948</v>
      </c>
      <c r="C97" s="85">
        <f t="shared" si="15"/>
        <v>474.87683000118051</v>
      </c>
      <c r="D97" s="82"/>
      <c r="E97" s="78">
        <f t="shared" si="20"/>
        <v>20428.085947313491</v>
      </c>
      <c r="F97" s="83">
        <f t="shared" si="19"/>
        <v>17465.96482462066</v>
      </c>
    </row>
    <row r="98" spans="1:6" ht="19">
      <c r="A98" s="75">
        <f t="shared" si="17"/>
        <v>1176</v>
      </c>
      <c r="B98" s="80">
        <f t="shared" si="18"/>
        <v>16991.08799461948</v>
      </c>
      <c r="C98" s="85">
        <f t="shared" si="15"/>
        <v>485.42027649321381</v>
      </c>
      <c r="D98" s="73"/>
      <c r="E98" s="78">
        <f t="shared" si="20"/>
        <v>20881.640253426136</v>
      </c>
      <c r="F98" s="79">
        <f t="shared" si="19"/>
        <v>17476.508271112692</v>
      </c>
    </row>
    <row r="99" spans="1:6" ht="19">
      <c r="A99" s="75">
        <f t="shared" si="17"/>
        <v>1201</v>
      </c>
      <c r="B99" s="81">
        <f t="shared" si="18"/>
        <v>16991.08799461948</v>
      </c>
      <c r="C99" s="85">
        <f t="shared" si="15"/>
        <v>495.96372298524716</v>
      </c>
      <c r="D99" s="82"/>
      <c r="E99" s="78">
        <f t="shared" si="20"/>
        <v>21335.194559538781</v>
      </c>
      <c r="F99" s="83">
        <f t="shared" si="19"/>
        <v>17487.051717604729</v>
      </c>
    </row>
    <row r="100" spans="1:6" ht="19">
      <c r="A100" s="75">
        <f t="shared" si="17"/>
        <v>1226</v>
      </c>
      <c r="B100" s="80">
        <f t="shared" si="18"/>
        <v>16991.08799461948</v>
      </c>
      <c r="C100" s="85">
        <f t="shared" si="15"/>
        <v>506.50716947728046</v>
      </c>
      <c r="D100" s="73"/>
      <c r="E100" s="78">
        <f t="shared" si="20"/>
        <v>21788.748865651425</v>
      </c>
      <c r="F100" s="79">
        <f t="shared" si="19"/>
        <v>17497.595164096761</v>
      </c>
    </row>
    <row r="101" spans="1:6" ht="19">
      <c r="A101" s="75">
        <f t="shared" si="17"/>
        <v>1251</v>
      </c>
      <c r="B101" s="81">
        <f t="shared" si="18"/>
        <v>16991.08799461948</v>
      </c>
      <c r="C101" s="85">
        <f t="shared" si="15"/>
        <v>517.05061596931375</v>
      </c>
      <c r="D101" s="82"/>
      <c r="E101" s="78">
        <f t="shared" si="20"/>
        <v>22242.30317176407</v>
      </c>
      <c r="F101" s="83">
        <f t="shared" si="19"/>
        <v>17508.138610588794</v>
      </c>
    </row>
    <row r="102" spans="1:6" ht="19">
      <c r="A102" s="75">
        <f t="shared" si="17"/>
        <v>1276</v>
      </c>
      <c r="B102" s="80">
        <f t="shared" si="18"/>
        <v>16991.08799461948</v>
      </c>
      <c r="C102" s="85">
        <f t="shared" si="15"/>
        <v>527.59406246134711</v>
      </c>
      <c r="D102" s="73"/>
      <c r="E102" s="78">
        <f t="shared" si="20"/>
        <v>22695.857477876714</v>
      </c>
      <c r="F102" s="79">
        <f t="shared" si="19"/>
        <v>17518.682057080827</v>
      </c>
    </row>
    <row r="103" spans="1:6" ht="19">
      <c r="A103" s="75">
        <f t="shared" si="17"/>
        <v>1301</v>
      </c>
      <c r="B103" s="81">
        <f t="shared" si="18"/>
        <v>16991.08799461948</v>
      </c>
      <c r="C103" s="85">
        <f t="shared" si="15"/>
        <v>538.13750895338035</v>
      </c>
      <c r="D103" s="82"/>
      <c r="E103" s="78">
        <f t="shared" si="20"/>
        <v>23149.411783989355</v>
      </c>
      <c r="F103" s="83">
        <f t="shared" si="19"/>
        <v>17529.225503572859</v>
      </c>
    </row>
    <row r="104" spans="1:6" ht="19">
      <c r="A104" s="75">
        <f t="shared" si="17"/>
        <v>1326</v>
      </c>
      <c r="B104" s="80">
        <f t="shared" si="18"/>
        <v>16991.08799461948</v>
      </c>
      <c r="C104" s="85">
        <f t="shared" si="15"/>
        <v>548.6809554454137</v>
      </c>
      <c r="D104" s="73"/>
      <c r="E104" s="78">
        <f t="shared" si="20"/>
        <v>23602.966090102</v>
      </c>
      <c r="F104" s="79">
        <f t="shared" si="19"/>
        <v>17539.768950064892</v>
      </c>
    </row>
    <row r="105" spans="1:6" ht="19">
      <c r="A105" s="75">
        <f t="shared" si="17"/>
        <v>1351</v>
      </c>
      <c r="B105" s="81">
        <f t="shared" si="18"/>
        <v>16991.08799461948</v>
      </c>
      <c r="C105" s="85">
        <f t="shared" si="15"/>
        <v>559.22440193744706</v>
      </c>
      <c r="D105" s="82"/>
      <c r="E105" s="78">
        <f t="shared" si="20"/>
        <v>24056.520396214644</v>
      </c>
      <c r="F105" s="83">
        <f t="shared" si="19"/>
        <v>17550.312396556928</v>
      </c>
    </row>
    <row r="106" spans="1:6" ht="19">
      <c r="A106" s="75">
        <f t="shared" si="17"/>
        <v>1376</v>
      </c>
      <c r="B106" s="80">
        <f t="shared" si="18"/>
        <v>16991.08799461948</v>
      </c>
      <c r="C106" s="85">
        <f t="shared" si="15"/>
        <v>569.7678484294803</v>
      </c>
      <c r="D106" s="73"/>
      <c r="E106" s="78">
        <f t="shared" si="20"/>
        <v>24510.074702327289</v>
      </c>
      <c r="F106" s="79">
        <f t="shared" si="19"/>
        <v>17560.855843048961</v>
      </c>
    </row>
    <row r="107" spans="1:6" ht="19">
      <c r="A107" s="75">
        <f t="shared" si="17"/>
        <v>1401</v>
      </c>
      <c r="B107" s="81">
        <f t="shared" si="18"/>
        <v>16991.08799461948</v>
      </c>
      <c r="C107" s="85">
        <f t="shared" si="15"/>
        <v>580.31129492151365</v>
      </c>
      <c r="D107" s="82"/>
      <c r="E107" s="78">
        <f t="shared" si="20"/>
        <v>24963.629008439933</v>
      </c>
      <c r="F107" s="83">
        <f t="shared" si="19"/>
        <v>17571.399289540994</v>
      </c>
    </row>
    <row r="108" spans="1:6" ht="19">
      <c r="A108" s="75">
        <f t="shared" si="17"/>
        <v>1426</v>
      </c>
      <c r="B108" s="80">
        <f t="shared" si="18"/>
        <v>16991.08799461948</v>
      </c>
      <c r="C108" s="85">
        <f t="shared" si="15"/>
        <v>590.854741413547</v>
      </c>
      <c r="D108" s="73"/>
      <c r="E108" s="78">
        <f t="shared" si="20"/>
        <v>25417.183314552578</v>
      </c>
      <c r="F108" s="79">
        <f t="shared" si="19"/>
        <v>17581.942736033026</v>
      </c>
    </row>
    <row r="109" spans="1:6" ht="19">
      <c r="A109" s="75">
        <f t="shared" si="17"/>
        <v>1451</v>
      </c>
      <c r="B109" s="81">
        <f t="shared" si="18"/>
        <v>16991.08799461948</v>
      </c>
      <c r="C109" s="85">
        <f t="shared" si="15"/>
        <v>601.39818790558024</v>
      </c>
      <c r="D109" s="82"/>
      <c r="E109" s="78">
        <f t="shared" si="20"/>
        <v>25870.737620665222</v>
      </c>
      <c r="F109" s="83">
        <f t="shared" si="19"/>
        <v>17592.486182525059</v>
      </c>
    </row>
    <row r="110" spans="1:6" ht="19">
      <c r="A110" s="75">
        <f t="shared" si="17"/>
        <v>1476</v>
      </c>
      <c r="B110" s="80">
        <f t="shared" si="18"/>
        <v>16991.08799461948</v>
      </c>
      <c r="C110" s="85">
        <f t="shared" si="15"/>
        <v>611.9416343976136</v>
      </c>
      <c r="D110" s="73"/>
      <c r="E110" s="78">
        <f t="shared" si="20"/>
        <v>26324.291926777867</v>
      </c>
      <c r="F110" s="79">
        <f t="shared" si="19"/>
        <v>17603.029629017095</v>
      </c>
    </row>
    <row r="111" spans="1:6" ht="19">
      <c r="A111" s="75">
        <f t="shared" si="17"/>
        <v>1501</v>
      </c>
      <c r="B111" s="81">
        <f t="shared" si="18"/>
        <v>16991.08799461948</v>
      </c>
      <c r="C111" s="85">
        <f t="shared" si="15"/>
        <v>622.48508088964695</v>
      </c>
      <c r="D111" s="82"/>
      <c r="E111" s="78">
        <f t="shared" si="20"/>
        <v>26777.846232890508</v>
      </c>
      <c r="F111" s="83">
        <f t="shared" si="19"/>
        <v>17613.573075509128</v>
      </c>
    </row>
    <row r="112" spans="1:6" ht="19">
      <c r="A112" s="75">
        <f t="shared" si="17"/>
        <v>1526</v>
      </c>
      <c r="B112" s="80">
        <f t="shared" si="18"/>
        <v>16991.08799461948</v>
      </c>
      <c r="C112" s="85">
        <f t="shared" si="15"/>
        <v>633.02852738168019</v>
      </c>
      <c r="D112" s="73"/>
      <c r="E112" s="78">
        <f t="shared" si="20"/>
        <v>27231.400539003153</v>
      </c>
      <c r="F112" s="79">
        <f t="shared" si="19"/>
        <v>17624.116522001161</v>
      </c>
    </row>
    <row r="113" spans="1:6" ht="19">
      <c r="A113" s="75">
        <f t="shared" si="17"/>
        <v>1551</v>
      </c>
      <c r="B113" s="81">
        <f t="shared" si="18"/>
        <v>16991.08799461948</v>
      </c>
      <c r="C113" s="85">
        <f t="shared" si="15"/>
        <v>643.57197387371355</v>
      </c>
      <c r="D113" s="82"/>
      <c r="E113" s="78">
        <f t="shared" si="20"/>
        <v>27684.954845115797</v>
      </c>
      <c r="F113" s="83">
        <f t="shared" si="19"/>
        <v>17634.659968493193</v>
      </c>
    </row>
    <row r="114" spans="1:6" ht="19">
      <c r="A114" s="75">
        <f t="shared" si="17"/>
        <v>1576</v>
      </c>
      <c r="B114" s="80">
        <f t="shared" si="18"/>
        <v>16991.08799461948</v>
      </c>
      <c r="C114" s="85">
        <f t="shared" si="15"/>
        <v>654.1154203657469</v>
      </c>
      <c r="D114" s="73"/>
      <c r="E114" s="78">
        <f t="shared" si="20"/>
        <v>28138.509151228442</v>
      </c>
      <c r="F114" s="79">
        <f t="shared" si="19"/>
        <v>17645.203414985226</v>
      </c>
    </row>
    <row r="115" spans="1:6" ht="19">
      <c r="A115" s="75">
        <f t="shared" si="17"/>
        <v>1601</v>
      </c>
      <c r="B115" s="81">
        <f t="shared" si="18"/>
        <v>16991.08799461948</v>
      </c>
      <c r="C115" s="85">
        <f t="shared" si="15"/>
        <v>664.65886685778014</v>
      </c>
      <c r="D115" s="82"/>
      <c r="E115" s="78">
        <f t="shared" si="20"/>
        <v>28592.063457341086</v>
      </c>
      <c r="F115" s="83">
        <f t="shared" si="19"/>
        <v>17655.746861477259</v>
      </c>
    </row>
    <row r="116" spans="1:6" ht="19">
      <c r="A116" s="75">
        <f t="shared" si="17"/>
        <v>1626</v>
      </c>
      <c r="B116" s="80">
        <f t="shared" si="18"/>
        <v>16991.08799461948</v>
      </c>
      <c r="C116" s="85">
        <f t="shared" ref="C116:C179" si="21">A115*B$46</f>
        <v>675.20231334981349</v>
      </c>
      <c r="D116" s="73"/>
      <c r="E116" s="78">
        <f t="shared" ref="E116:E147" si="22">A115*$B$47</f>
        <v>29045.617763453731</v>
      </c>
      <c r="F116" s="79">
        <f t="shared" ref="F116:F179" si="23">B116+C116</f>
        <v>17666.290307969295</v>
      </c>
    </row>
    <row r="117" spans="1:6" ht="19">
      <c r="A117" s="75">
        <f t="shared" ref="A117:A180" si="24">A116+$B$45</f>
        <v>1651</v>
      </c>
      <c r="B117" s="81">
        <f t="shared" ref="B117:B180" si="25">B116</f>
        <v>16991.08799461948</v>
      </c>
      <c r="C117" s="85">
        <f t="shared" si="21"/>
        <v>685.74575984184685</v>
      </c>
      <c r="D117" s="82"/>
      <c r="E117" s="78">
        <f t="shared" si="22"/>
        <v>29499.172069566375</v>
      </c>
      <c r="F117" s="83">
        <f t="shared" si="23"/>
        <v>17676.833754461328</v>
      </c>
    </row>
    <row r="118" spans="1:6" ht="19">
      <c r="A118" s="75">
        <f t="shared" si="24"/>
        <v>1676</v>
      </c>
      <c r="B118" s="80">
        <f t="shared" si="25"/>
        <v>16991.08799461948</v>
      </c>
      <c r="C118" s="85">
        <f t="shared" si="21"/>
        <v>696.28920633388009</v>
      </c>
      <c r="D118" s="73"/>
      <c r="E118" s="78">
        <f t="shared" si="22"/>
        <v>29952.72637567902</v>
      </c>
      <c r="F118" s="79">
        <f t="shared" si="23"/>
        <v>17687.37720095336</v>
      </c>
    </row>
    <row r="119" spans="1:6" ht="19">
      <c r="A119" s="75">
        <f t="shared" si="24"/>
        <v>1701</v>
      </c>
      <c r="B119" s="81">
        <f t="shared" si="25"/>
        <v>16991.08799461948</v>
      </c>
      <c r="C119" s="85">
        <f t="shared" si="21"/>
        <v>706.83265282591344</v>
      </c>
      <c r="D119" s="82"/>
      <c r="E119" s="78">
        <f t="shared" si="22"/>
        <v>30406.280681791664</v>
      </c>
      <c r="F119" s="83">
        <f t="shared" si="23"/>
        <v>17697.920647445393</v>
      </c>
    </row>
    <row r="120" spans="1:6" ht="19">
      <c r="A120" s="75">
        <f t="shared" si="24"/>
        <v>1726</v>
      </c>
      <c r="B120" s="80">
        <f t="shared" si="25"/>
        <v>16991.08799461948</v>
      </c>
      <c r="C120" s="85">
        <f t="shared" si="21"/>
        <v>717.3760993179468</v>
      </c>
      <c r="D120" s="73"/>
      <c r="E120" s="78">
        <f t="shared" si="22"/>
        <v>30859.834987904305</v>
      </c>
      <c r="F120" s="79">
        <f t="shared" si="23"/>
        <v>17708.464093937426</v>
      </c>
    </row>
    <row r="121" spans="1:6" ht="19">
      <c r="A121" s="75">
        <f t="shared" si="24"/>
        <v>1751</v>
      </c>
      <c r="B121" s="81">
        <f t="shared" si="25"/>
        <v>16991.08799461948</v>
      </c>
      <c r="C121" s="85">
        <f t="shared" si="21"/>
        <v>727.91954580998004</v>
      </c>
      <c r="D121" s="82"/>
      <c r="E121" s="78">
        <f t="shared" si="22"/>
        <v>31313.38929401695</v>
      </c>
      <c r="F121" s="83">
        <f t="shared" si="23"/>
        <v>17719.007540429458</v>
      </c>
    </row>
    <row r="122" spans="1:6" ht="19">
      <c r="A122" s="75">
        <f t="shared" si="24"/>
        <v>1776</v>
      </c>
      <c r="B122" s="80">
        <f t="shared" si="25"/>
        <v>16991.08799461948</v>
      </c>
      <c r="C122" s="85">
        <f t="shared" si="21"/>
        <v>738.46299230201339</v>
      </c>
      <c r="D122" s="73"/>
      <c r="E122" s="78">
        <f t="shared" si="22"/>
        <v>31766.943600129594</v>
      </c>
      <c r="F122" s="79">
        <f t="shared" si="23"/>
        <v>17729.550986921495</v>
      </c>
    </row>
    <row r="123" spans="1:6" ht="19">
      <c r="A123" s="75">
        <f t="shared" si="24"/>
        <v>1801</v>
      </c>
      <c r="B123" s="81">
        <f t="shared" si="25"/>
        <v>16991.08799461948</v>
      </c>
      <c r="C123" s="85">
        <f t="shared" si="21"/>
        <v>749.00643879404674</v>
      </c>
      <c r="D123" s="82"/>
      <c r="E123" s="78">
        <f t="shared" si="22"/>
        <v>32220.497906242239</v>
      </c>
      <c r="F123" s="83">
        <f t="shared" si="23"/>
        <v>17740.094433413527</v>
      </c>
    </row>
    <row r="124" spans="1:6" ht="19">
      <c r="A124" s="75">
        <f t="shared" si="24"/>
        <v>1826</v>
      </c>
      <c r="B124" s="80">
        <f t="shared" si="25"/>
        <v>16991.08799461948</v>
      </c>
      <c r="C124" s="85">
        <f t="shared" si="21"/>
        <v>759.54988528607998</v>
      </c>
      <c r="D124" s="73"/>
      <c r="E124" s="78">
        <f t="shared" si="22"/>
        <v>32674.052212354884</v>
      </c>
      <c r="F124" s="79">
        <f t="shared" si="23"/>
        <v>17750.63787990556</v>
      </c>
    </row>
    <row r="125" spans="1:6" ht="19">
      <c r="A125" s="75">
        <f t="shared" si="24"/>
        <v>1851</v>
      </c>
      <c r="B125" s="81">
        <f t="shared" si="25"/>
        <v>16991.08799461948</v>
      </c>
      <c r="C125" s="85">
        <f t="shared" si="21"/>
        <v>770.09333177811334</v>
      </c>
      <c r="D125" s="82"/>
      <c r="E125" s="78">
        <f t="shared" si="22"/>
        <v>33127.606518467524</v>
      </c>
      <c r="F125" s="83">
        <f t="shared" si="23"/>
        <v>17761.181326397593</v>
      </c>
    </row>
    <row r="126" spans="1:6" ht="19">
      <c r="A126" s="75">
        <f t="shared" si="24"/>
        <v>1876</v>
      </c>
      <c r="B126" s="80">
        <f t="shared" si="25"/>
        <v>16991.08799461948</v>
      </c>
      <c r="C126" s="85">
        <f t="shared" si="21"/>
        <v>780.63677827014658</v>
      </c>
      <c r="D126" s="73"/>
      <c r="E126" s="78">
        <f t="shared" si="22"/>
        <v>33581.160824580169</v>
      </c>
      <c r="F126" s="79">
        <f t="shared" si="23"/>
        <v>17771.724772889625</v>
      </c>
    </row>
    <row r="127" spans="1:6" ht="19">
      <c r="A127" s="75">
        <f t="shared" si="24"/>
        <v>1901</v>
      </c>
      <c r="B127" s="81">
        <f t="shared" si="25"/>
        <v>16991.08799461948</v>
      </c>
      <c r="C127" s="85">
        <f t="shared" si="21"/>
        <v>791.18022476217993</v>
      </c>
      <c r="D127" s="82"/>
      <c r="E127" s="78">
        <f t="shared" si="22"/>
        <v>34034.715130692814</v>
      </c>
      <c r="F127" s="83">
        <f t="shared" si="23"/>
        <v>17782.268219381658</v>
      </c>
    </row>
    <row r="128" spans="1:6" ht="19">
      <c r="A128" s="75">
        <f t="shared" si="24"/>
        <v>1926</v>
      </c>
      <c r="B128" s="80">
        <f t="shared" si="25"/>
        <v>16991.08799461948</v>
      </c>
      <c r="C128" s="85">
        <f t="shared" si="21"/>
        <v>801.72367125421329</v>
      </c>
      <c r="D128" s="73"/>
      <c r="E128" s="78">
        <f t="shared" si="22"/>
        <v>34488.269436805458</v>
      </c>
      <c r="F128" s="79">
        <f t="shared" si="23"/>
        <v>17792.811665873694</v>
      </c>
    </row>
    <row r="129" spans="1:6" ht="19">
      <c r="A129" s="75">
        <f t="shared" si="24"/>
        <v>1951</v>
      </c>
      <c r="B129" s="81">
        <f t="shared" si="25"/>
        <v>16991.08799461948</v>
      </c>
      <c r="C129" s="85">
        <f t="shared" si="21"/>
        <v>812.26711774624653</v>
      </c>
      <c r="D129" s="82"/>
      <c r="E129" s="78">
        <f t="shared" si="22"/>
        <v>34941.823742918103</v>
      </c>
      <c r="F129" s="83">
        <f t="shared" si="23"/>
        <v>17803.355112365727</v>
      </c>
    </row>
    <row r="130" spans="1:6" ht="19">
      <c r="A130" s="75">
        <f t="shared" si="24"/>
        <v>1976</v>
      </c>
      <c r="B130" s="80">
        <f t="shared" si="25"/>
        <v>16991.08799461948</v>
      </c>
      <c r="C130" s="85">
        <f t="shared" si="21"/>
        <v>822.81056423827988</v>
      </c>
      <c r="D130" s="73"/>
      <c r="E130" s="78">
        <f t="shared" si="22"/>
        <v>35395.378049030747</v>
      </c>
      <c r="F130" s="79">
        <f t="shared" si="23"/>
        <v>17813.89855885776</v>
      </c>
    </row>
    <row r="131" spans="1:6" ht="19">
      <c r="A131" s="75">
        <f t="shared" si="24"/>
        <v>2001</v>
      </c>
      <c r="B131" s="81">
        <f t="shared" si="25"/>
        <v>16991.08799461948</v>
      </c>
      <c r="C131" s="85">
        <f t="shared" si="21"/>
        <v>833.35401073031323</v>
      </c>
      <c r="D131" s="82"/>
      <c r="E131" s="78">
        <f t="shared" si="22"/>
        <v>35848.932355143392</v>
      </c>
      <c r="F131" s="83">
        <f t="shared" si="23"/>
        <v>17824.442005349792</v>
      </c>
    </row>
    <row r="132" spans="1:6" ht="19">
      <c r="A132" s="75">
        <f t="shared" si="24"/>
        <v>2026</v>
      </c>
      <c r="B132" s="80">
        <f t="shared" si="25"/>
        <v>16991.08799461948</v>
      </c>
      <c r="C132" s="85">
        <f t="shared" si="21"/>
        <v>843.89745722234647</v>
      </c>
      <c r="D132" s="73"/>
      <c r="E132" s="78">
        <f t="shared" si="22"/>
        <v>36302.486661256036</v>
      </c>
      <c r="F132" s="79">
        <f t="shared" si="23"/>
        <v>17834.985451841825</v>
      </c>
    </row>
    <row r="133" spans="1:6" ht="19">
      <c r="A133" s="75">
        <f t="shared" si="24"/>
        <v>2051</v>
      </c>
      <c r="B133" s="81">
        <f t="shared" si="25"/>
        <v>16991.08799461948</v>
      </c>
      <c r="C133" s="85">
        <f t="shared" si="21"/>
        <v>854.44090371437983</v>
      </c>
      <c r="D133" s="82"/>
      <c r="E133" s="78">
        <f t="shared" si="22"/>
        <v>36756.040967368681</v>
      </c>
      <c r="F133" s="83">
        <f t="shared" si="23"/>
        <v>17845.528898333861</v>
      </c>
    </row>
    <row r="134" spans="1:6" ht="19">
      <c r="A134" s="75">
        <f t="shared" si="24"/>
        <v>2076</v>
      </c>
      <c r="B134" s="80">
        <f t="shared" si="25"/>
        <v>16991.08799461948</v>
      </c>
      <c r="C134" s="85">
        <f t="shared" si="21"/>
        <v>864.98435020641318</v>
      </c>
      <c r="D134" s="73"/>
      <c r="E134" s="78">
        <f t="shared" si="22"/>
        <v>37209.595273481325</v>
      </c>
      <c r="F134" s="79">
        <f t="shared" si="23"/>
        <v>17856.072344825894</v>
      </c>
    </row>
    <row r="135" spans="1:6" ht="19">
      <c r="A135" s="75">
        <f t="shared" si="24"/>
        <v>2101</v>
      </c>
      <c r="B135" s="81">
        <f t="shared" si="25"/>
        <v>16991.08799461948</v>
      </c>
      <c r="C135" s="85">
        <f t="shared" si="21"/>
        <v>875.52779669844642</v>
      </c>
      <c r="D135" s="82"/>
      <c r="E135" s="78">
        <f t="shared" si="22"/>
        <v>37663.14957959397</v>
      </c>
      <c r="F135" s="83">
        <f t="shared" si="23"/>
        <v>17866.615791317927</v>
      </c>
    </row>
    <row r="136" spans="1:6" ht="19">
      <c r="A136" s="75">
        <f t="shared" si="24"/>
        <v>2126</v>
      </c>
      <c r="B136" s="80">
        <f t="shared" si="25"/>
        <v>16991.08799461948</v>
      </c>
      <c r="C136" s="85">
        <f t="shared" si="21"/>
        <v>886.07124319047978</v>
      </c>
      <c r="D136" s="73"/>
      <c r="E136" s="78">
        <f t="shared" si="22"/>
        <v>38116.703885706615</v>
      </c>
      <c r="F136" s="79">
        <f t="shared" si="23"/>
        <v>17877.159237809959</v>
      </c>
    </row>
    <row r="137" spans="1:6" ht="19">
      <c r="A137" s="75">
        <f t="shared" si="24"/>
        <v>2151</v>
      </c>
      <c r="B137" s="81">
        <f t="shared" si="25"/>
        <v>16991.08799461948</v>
      </c>
      <c r="C137" s="85">
        <f t="shared" si="21"/>
        <v>896.61468968251313</v>
      </c>
      <c r="D137" s="82"/>
      <c r="E137" s="78">
        <f t="shared" si="22"/>
        <v>38570.258191819259</v>
      </c>
      <c r="F137" s="83">
        <f t="shared" si="23"/>
        <v>17887.702684301992</v>
      </c>
    </row>
    <row r="138" spans="1:6" ht="19">
      <c r="A138" s="75">
        <f t="shared" si="24"/>
        <v>2176</v>
      </c>
      <c r="B138" s="80">
        <f t="shared" si="25"/>
        <v>16991.08799461948</v>
      </c>
      <c r="C138" s="85">
        <f t="shared" si="21"/>
        <v>907.15813617454637</v>
      </c>
      <c r="D138" s="73"/>
      <c r="E138" s="78">
        <f t="shared" si="22"/>
        <v>39023.812497931904</v>
      </c>
      <c r="F138" s="79">
        <f t="shared" si="23"/>
        <v>17898.246130794025</v>
      </c>
    </row>
    <row r="139" spans="1:6" ht="19">
      <c r="A139" s="75">
        <f t="shared" si="24"/>
        <v>2201</v>
      </c>
      <c r="B139" s="81">
        <f t="shared" si="25"/>
        <v>16991.08799461948</v>
      </c>
      <c r="C139" s="85">
        <f t="shared" si="21"/>
        <v>917.70158266657972</v>
      </c>
      <c r="D139" s="82"/>
      <c r="E139" s="78">
        <f t="shared" si="22"/>
        <v>39477.366804044548</v>
      </c>
      <c r="F139" s="83">
        <f t="shared" si="23"/>
        <v>17908.789577286061</v>
      </c>
    </row>
    <row r="140" spans="1:6" ht="19">
      <c r="A140" s="75">
        <f t="shared" si="24"/>
        <v>2226</v>
      </c>
      <c r="B140" s="80">
        <f t="shared" si="25"/>
        <v>16991.08799461948</v>
      </c>
      <c r="C140" s="85">
        <f t="shared" si="21"/>
        <v>928.24502915861308</v>
      </c>
      <c r="D140" s="73"/>
      <c r="E140" s="78">
        <f t="shared" si="22"/>
        <v>39930.921110157193</v>
      </c>
      <c r="F140" s="79">
        <f t="shared" si="23"/>
        <v>17919.333023778094</v>
      </c>
    </row>
    <row r="141" spans="1:6" ht="19">
      <c r="A141" s="75">
        <f t="shared" si="24"/>
        <v>2251</v>
      </c>
      <c r="B141" s="81">
        <f t="shared" si="25"/>
        <v>16991.08799461948</v>
      </c>
      <c r="C141" s="85">
        <f t="shared" si="21"/>
        <v>938.78847565064632</v>
      </c>
      <c r="D141" s="82"/>
      <c r="E141" s="78">
        <f t="shared" si="22"/>
        <v>40384.475416269837</v>
      </c>
      <c r="F141" s="83">
        <f t="shared" si="23"/>
        <v>17929.876470270126</v>
      </c>
    </row>
    <row r="142" spans="1:6" ht="19">
      <c r="A142" s="75">
        <f t="shared" si="24"/>
        <v>2276</v>
      </c>
      <c r="B142" s="80">
        <f t="shared" si="25"/>
        <v>16991.08799461948</v>
      </c>
      <c r="C142" s="85">
        <f t="shared" si="21"/>
        <v>949.33192214267967</v>
      </c>
      <c r="D142" s="73"/>
      <c r="E142" s="78">
        <f t="shared" si="22"/>
        <v>40838.029722382475</v>
      </c>
      <c r="F142" s="79">
        <f t="shared" si="23"/>
        <v>17940.419916762159</v>
      </c>
    </row>
    <row r="143" spans="1:6" ht="19">
      <c r="A143" s="75">
        <f t="shared" si="24"/>
        <v>2301</v>
      </c>
      <c r="B143" s="81">
        <f t="shared" si="25"/>
        <v>16991.08799461948</v>
      </c>
      <c r="C143" s="85">
        <f t="shared" si="21"/>
        <v>959.87536863471303</v>
      </c>
      <c r="D143" s="82"/>
      <c r="E143" s="78">
        <f t="shared" si="22"/>
        <v>41291.584028495119</v>
      </c>
      <c r="F143" s="83">
        <f t="shared" si="23"/>
        <v>17950.963363254192</v>
      </c>
    </row>
    <row r="144" spans="1:6" ht="19">
      <c r="A144" s="75">
        <f t="shared" si="24"/>
        <v>2326</v>
      </c>
      <c r="B144" s="80">
        <f t="shared" si="25"/>
        <v>16991.08799461948</v>
      </c>
      <c r="C144" s="85">
        <f t="shared" si="21"/>
        <v>970.41881512674627</v>
      </c>
      <c r="D144" s="73"/>
      <c r="E144" s="78">
        <f t="shared" si="22"/>
        <v>41745.138334607764</v>
      </c>
      <c r="F144" s="79">
        <f t="shared" si="23"/>
        <v>17961.506809746228</v>
      </c>
    </row>
    <row r="145" spans="1:6" ht="19">
      <c r="A145" s="75">
        <f t="shared" si="24"/>
        <v>2351</v>
      </c>
      <c r="B145" s="81">
        <f t="shared" si="25"/>
        <v>16991.08799461948</v>
      </c>
      <c r="C145" s="85">
        <f t="shared" si="21"/>
        <v>980.96226161877962</v>
      </c>
      <c r="D145" s="82"/>
      <c r="E145" s="78">
        <f t="shared" si="22"/>
        <v>42198.692640720408</v>
      </c>
      <c r="F145" s="83">
        <f t="shared" si="23"/>
        <v>17972.050256238261</v>
      </c>
    </row>
    <row r="146" spans="1:6" ht="19">
      <c r="A146" s="75">
        <f t="shared" si="24"/>
        <v>2376</v>
      </c>
      <c r="B146" s="80">
        <f t="shared" si="25"/>
        <v>16991.08799461948</v>
      </c>
      <c r="C146" s="85">
        <f t="shared" si="21"/>
        <v>991.50570811081298</v>
      </c>
      <c r="D146" s="73"/>
      <c r="E146" s="78">
        <f t="shared" si="22"/>
        <v>42652.246946833053</v>
      </c>
      <c r="F146" s="79">
        <f t="shared" si="23"/>
        <v>17982.593702730293</v>
      </c>
    </row>
    <row r="147" spans="1:6" ht="19">
      <c r="A147" s="75">
        <f t="shared" si="24"/>
        <v>2401</v>
      </c>
      <c r="B147" s="81">
        <f t="shared" si="25"/>
        <v>16991.08799461948</v>
      </c>
      <c r="C147" s="85">
        <f t="shared" si="21"/>
        <v>1002.0491546028462</v>
      </c>
      <c r="D147" s="82"/>
      <c r="E147" s="78">
        <f t="shared" si="22"/>
        <v>43105.801252945697</v>
      </c>
      <c r="F147" s="83">
        <f t="shared" si="23"/>
        <v>17993.137149222326</v>
      </c>
    </row>
    <row r="148" spans="1:6" ht="19">
      <c r="A148" s="75">
        <f t="shared" si="24"/>
        <v>2426</v>
      </c>
      <c r="B148" s="80">
        <f t="shared" si="25"/>
        <v>16991.08799461948</v>
      </c>
      <c r="C148" s="85">
        <f t="shared" si="21"/>
        <v>1012.5926010948796</v>
      </c>
      <c r="D148" s="73"/>
      <c r="E148" s="78">
        <f t="shared" ref="E148:E179" si="26">A147*$B$47</f>
        <v>43559.355559058342</v>
      </c>
      <c r="F148" s="79">
        <f t="shared" si="23"/>
        <v>18003.680595714359</v>
      </c>
    </row>
    <row r="149" spans="1:6" ht="19">
      <c r="A149" s="75">
        <f t="shared" si="24"/>
        <v>2451</v>
      </c>
      <c r="B149" s="81">
        <f t="shared" si="25"/>
        <v>16991.08799461948</v>
      </c>
      <c r="C149" s="85">
        <f t="shared" si="21"/>
        <v>1023.1360475869129</v>
      </c>
      <c r="D149" s="82"/>
      <c r="E149" s="78">
        <f t="shared" si="26"/>
        <v>44012.909865170986</v>
      </c>
      <c r="F149" s="83">
        <f t="shared" si="23"/>
        <v>18014.224042206391</v>
      </c>
    </row>
    <row r="150" spans="1:6" ht="19">
      <c r="A150" s="75">
        <f t="shared" si="24"/>
        <v>2476</v>
      </c>
      <c r="B150" s="80">
        <f t="shared" si="25"/>
        <v>16991.08799461948</v>
      </c>
      <c r="C150" s="85">
        <f t="shared" si="21"/>
        <v>1033.6794940789462</v>
      </c>
      <c r="D150" s="73"/>
      <c r="E150" s="78">
        <f t="shared" si="26"/>
        <v>44466.464171283631</v>
      </c>
      <c r="F150" s="79">
        <f t="shared" si="23"/>
        <v>18024.767488698428</v>
      </c>
    </row>
    <row r="151" spans="1:6" ht="19">
      <c r="A151" s="75">
        <f t="shared" si="24"/>
        <v>2501</v>
      </c>
      <c r="B151" s="81">
        <f t="shared" si="25"/>
        <v>16991.08799461948</v>
      </c>
      <c r="C151" s="85">
        <f t="shared" si="21"/>
        <v>1044.2229405709795</v>
      </c>
      <c r="D151" s="82"/>
      <c r="E151" s="78">
        <f t="shared" si="26"/>
        <v>44920.018477396276</v>
      </c>
      <c r="F151" s="83">
        <f t="shared" si="23"/>
        <v>18035.31093519046</v>
      </c>
    </row>
    <row r="152" spans="1:6" ht="19">
      <c r="A152" s="75">
        <f t="shared" si="24"/>
        <v>2526</v>
      </c>
      <c r="B152" s="80">
        <f t="shared" si="25"/>
        <v>16991.08799461948</v>
      </c>
      <c r="C152" s="85">
        <f t="shared" si="21"/>
        <v>1054.7663870630129</v>
      </c>
      <c r="D152" s="73"/>
      <c r="E152" s="78">
        <f t="shared" si="26"/>
        <v>45373.57278350892</v>
      </c>
      <c r="F152" s="79">
        <f t="shared" si="23"/>
        <v>18045.854381682493</v>
      </c>
    </row>
    <row r="153" spans="1:6" ht="19">
      <c r="A153" s="75">
        <f t="shared" si="24"/>
        <v>2551</v>
      </c>
      <c r="B153" s="81">
        <f t="shared" si="25"/>
        <v>16991.08799461948</v>
      </c>
      <c r="C153" s="85">
        <f t="shared" si="21"/>
        <v>1065.3098335550462</v>
      </c>
      <c r="D153" s="82"/>
      <c r="E153" s="78">
        <f t="shared" si="26"/>
        <v>45827.127089621565</v>
      </c>
      <c r="F153" s="83">
        <f t="shared" si="23"/>
        <v>18056.397828174526</v>
      </c>
    </row>
    <row r="154" spans="1:6" ht="19">
      <c r="A154" s="75">
        <f t="shared" si="24"/>
        <v>2576</v>
      </c>
      <c r="B154" s="80">
        <f t="shared" si="25"/>
        <v>16991.08799461948</v>
      </c>
      <c r="C154" s="85">
        <f t="shared" si="21"/>
        <v>1075.8532800470794</v>
      </c>
      <c r="D154" s="73"/>
      <c r="E154" s="78">
        <f t="shared" si="26"/>
        <v>46280.681395734209</v>
      </c>
      <c r="F154" s="79">
        <f t="shared" si="23"/>
        <v>18066.941274666558</v>
      </c>
    </row>
    <row r="155" spans="1:6" ht="19">
      <c r="A155" s="75">
        <f t="shared" si="24"/>
        <v>2601</v>
      </c>
      <c r="B155" s="81">
        <f t="shared" si="25"/>
        <v>16991.08799461948</v>
      </c>
      <c r="C155" s="85">
        <f t="shared" si="21"/>
        <v>1086.3967265391127</v>
      </c>
      <c r="D155" s="82"/>
      <c r="E155" s="78">
        <f t="shared" si="26"/>
        <v>46734.235701846854</v>
      </c>
      <c r="F155" s="83">
        <f t="shared" si="23"/>
        <v>18077.484721158591</v>
      </c>
    </row>
    <row r="156" spans="1:6" ht="19">
      <c r="A156" s="75">
        <f t="shared" si="24"/>
        <v>2626</v>
      </c>
      <c r="B156" s="80">
        <f t="shared" si="25"/>
        <v>16991.08799461948</v>
      </c>
      <c r="C156" s="85">
        <f t="shared" si="21"/>
        <v>1096.9401730311461</v>
      </c>
      <c r="D156" s="73"/>
      <c r="E156" s="78">
        <f t="shared" si="26"/>
        <v>47187.790007959498</v>
      </c>
      <c r="F156" s="79">
        <f t="shared" si="23"/>
        <v>18088.028167650627</v>
      </c>
    </row>
    <row r="157" spans="1:6" ht="19">
      <c r="A157" s="75">
        <f t="shared" si="24"/>
        <v>2651</v>
      </c>
      <c r="B157" s="81">
        <f t="shared" si="25"/>
        <v>16991.08799461948</v>
      </c>
      <c r="C157" s="85">
        <f t="shared" si="21"/>
        <v>1107.4836195231794</v>
      </c>
      <c r="D157" s="82"/>
      <c r="E157" s="78">
        <f t="shared" si="26"/>
        <v>47641.344314072143</v>
      </c>
      <c r="F157" s="83">
        <f t="shared" si="23"/>
        <v>18098.57161414266</v>
      </c>
    </row>
    <row r="158" spans="1:6" ht="19">
      <c r="A158" s="75">
        <f t="shared" si="24"/>
        <v>2676</v>
      </c>
      <c r="B158" s="80">
        <f t="shared" si="25"/>
        <v>16991.08799461948</v>
      </c>
      <c r="C158" s="85">
        <f t="shared" si="21"/>
        <v>1118.0270660152128</v>
      </c>
      <c r="D158" s="73"/>
      <c r="E158" s="78">
        <f t="shared" si="26"/>
        <v>48094.898620184787</v>
      </c>
      <c r="F158" s="79">
        <f t="shared" si="23"/>
        <v>18109.115060634693</v>
      </c>
    </row>
    <row r="159" spans="1:6" ht="19">
      <c r="A159" s="75">
        <f t="shared" si="24"/>
        <v>2701</v>
      </c>
      <c r="B159" s="81">
        <f t="shared" si="25"/>
        <v>16991.08799461948</v>
      </c>
      <c r="C159" s="85">
        <f t="shared" si="21"/>
        <v>1128.5705125072461</v>
      </c>
      <c r="D159" s="82"/>
      <c r="E159" s="78">
        <f t="shared" si="26"/>
        <v>48548.452926297425</v>
      </c>
      <c r="F159" s="83">
        <f t="shared" si="23"/>
        <v>18119.658507126725</v>
      </c>
    </row>
    <row r="160" spans="1:6" ht="19">
      <c r="A160" s="75">
        <f t="shared" si="24"/>
        <v>2726</v>
      </c>
      <c r="B160" s="80">
        <f t="shared" si="25"/>
        <v>16991.08799461948</v>
      </c>
      <c r="C160" s="85">
        <f t="shared" si="21"/>
        <v>1139.1139589992792</v>
      </c>
      <c r="D160" s="73"/>
      <c r="E160" s="78">
        <f t="shared" si="26"/>
        <v>49002.007232410069</v>
      </c>
      <c r="F160" s="79">
        <f t="shared" si="23"/>
        <v>18130.201953618758</v>
      </c>
    </row>
    <row r="161" spans="1:6" ht="19">
      <c r="A161" s="75">
        <f t="shared" si="24"/>
        <v>2751</v>
      </c>
      <c r="B161" s="81">
        <f t="shared" si="25"/>
        <v>16991.08799461948</v>
      </c>
      <c r="C161" s="85">
        <f t="shared" si="21"/>
        <v>1149.6574054913126</v>
      </c>
      <c r="D161" s="82"/>
      <c r="E161" s="78">
        <f t="shared" si="26"/>
        <v>49455.561538522714</v>
      </c>
      <c r="F161" s="83">
        <f t="shared" si="23"/>
        <v>18140.745400110791</v>
      </c>
    </row>
    <row r="162" spans="1:6" ht="19">
      <c r="A162" s="75">
        <f t="shared" si="24"/>
        <v>2776</v>
      </c>
      <c r="B162" s="80">
        <f t="shared" si="25"/>
        <v>16991.08799461948</v>
      </c>
      <c r="C162" s="85">
        <f t="shared" si="21"/>
        <v>1160.200851983346</v>
      </c>
      <c r="D162" s="73"/>
      <c r="E162" s="78">
        <f t="shared" si="26"/>
        <v>49909.115844635358</v>
      </c>
      <c r="F162" s="79">
        <f t="shared" si="23"/>
        <v>18151.288846602827</v>
      </c>
    </row>
    <row r="163" spans="1:6" ht="19">
      <c r="A163" s="75">
        <f t="shared" si="24"/>
        <v>2801</v>
      </c>
      <c r="B163" s="81">
        <f t="shared" si="25"/>
        <v>16991.08799461948</v>
      </c>
      <c r="C163" s="85">
        <f t="shared" si="21"/>
        <v>1170.7442984753793</v>
      </c>
      <c r="D163" s="82"/>
      <c r="E163" s="78">
        <f t="shared" si="26"/>
        <v>50362.670150748003</v>
      </c>
      <c r="F163" s="83">
        <f t="shared" si="23"/>
        <v>18161.83229309486</v>
      </c>
    </row>
    <row r="164" spans="1:6" ht="19">
      <c r="A164" s="75">
        <f t="shared" si="24"/>
        <v>2826</v>
      </c>
      <c r="B164" s="80">
        <f t="shared" si="25"/>
        <v>16991.08799461948</v>
      </c>
      <c r="C164" s="85">
        <f t="shared" si="21"/>
        <v>1181.2877449674127</v>
      </c>
      <c r="D164" s="73"/>
      <c r="E164" s="78">
        <f t="shared" si="26"/>
        <v>50816.224456860647</v>
      </c>
      <c r="F164" s="79">
        <f t="shared" si="23"/>
        <v>18172.375739586892</v>
      </c>
    </row>
    <row r="165" spans="1:6" ht="19">
      <c r="A165" s="75">
        <f t="shared" si="24"/>
        <v>2851</v>
      </c>
      <c r="B165" s="81">
        <f t="shared" si="25"/>
        <v>16991.08799461948</v>
      </c>
      <c r="C165" s="85">
        <f t="shared" si="21"/>
        <v>1191.831191459446</v>
      </c>
      <c r="D165" s="82"/>
      <c r="E165" s="78">
        <f t="shared" si="26"/>
        <v>51269.778762973292</v>
      </c>
      <c r="F165" s="83">
        <f t="shared" si="23"/>
        <v>18182.919186078925</v>
      </c>
    </row>
    <row r="166" spans="1:6" ht="19">
      <c r="A166" s="75">
        <f t="shared" si="24"/>
        <v>2876</v>
      </c>
      <c r="B166" s="80">
        <f t="shared" si="25"/>
        <v>16991.08799461948</v>
      </c>
      <c r="C166" s="85">
        <f t="shared" si="21"/>
        <v>1202.3746379514791</v>
      </c>
      <c r="D166" s="73"/>
      <c r="E166" s="78">
        <f t="shared" si="26"/>
        <v>51723.333069085937</v>
      </c>
      <c r="F166" s="79">
        <f t="shared" si="23"/>
        <v>18193.462632570958</v>
      </c>
    </row>
    <row r="167" spans="1:6" ht="19">
      <c r="A167" s="75">
        <f t="shared" si="24"/>
        <v>2901</v>
      </c>
      <c r="B167" s="81">
        <f t="shared" si="25"/>
        <v>16991.08799461948</v>
      </c>
      <c r="C167" s="85">
        <f t="shared" si="21"/>
        <v>1212.9180844435125</v>
      </c>
      <c r="D167" s="82"/>
      <c r="E167" s="78">
        <f t="shared" si="26"/>
        <v>52176.887375198581</v>
      </c>
      <c r="F167" s="83">
        <f t="shared" si="23"/>
        <v>18204.006079062994</v>
      </c>
    </row>
    <row r="168" spans="1:6" ht="19">
      <c r="A168" s="75">
        <f t="shared" si="24"/>
        <v>2926</v>
      </c>
      <c r="B168" s="80">
        <f t="shared" si="25"/>
        <v>16991.08799461948</v>
      </c>
      <c r="C168" s="85">
        <f t="shared" si="21"/>
        <v>1223.4615309355459</v>
      </c>
      <c r="D168" s="73"/>
      <c r="E168" s="78">
        <f t="shared" si="26"/>
        <v>52630.441681311226</v>
      </c>
      <c r="F168" s="79">
        <f t="shared" si="23"/>
        <v>18214.549525555027</v>
      </c>
    </row>
    <row r="169" spans="1:6" ht="19">
      <c r="A169" s="75">
        <f t="shared" si="24"/>
        <v>2951</v>
      </c>
      <c r="B169" s="81">
        <f t="shared" si="25"/>
        <v>16991.08799461948</v>
      </c>
      <c r="C169" s="85">
        <f t="shared" si="21"/>
        <v>1234.0049774275792</v>
      </c>
      <c r="D169" s="82"/>
      <c r="E169" s="78">
        <f t="shared" si="26"/>
        <v>53083.99598742387</v>
      </c>
      <c r="F169" s="83">
        <f t="shared" si="23"/>
        <v>18225.092972047059</v>
      </c>
    </row>
    <row r="170" spans="1:6" ht="19">
      <c r="A170" s="75">
        <f t="shared" si="24"/>
        <v>2976</v>
      </c>
      <c r="B170" s="80">
        <f t="shared" si="25"/>
        <v>16991.08799461948</v>
      </c>
      <c r="C170" s="85">
        <f t="shared" si="21"/>
        <v>1244.5484239196126</v>
      </c>
      <c r="D170" s="73"/>
      <c r="E170" s="78">
        <f t="shared" si="26"/>
        <v>53537.550293536515</v>
      </c>
      <c r="F170" s="79">
        <f t="shared" si="23"/>
        <v>18235.636418539092</v>
      </c>
    </row>
    <row r="171" spans="1:6" ht="19">
      <c r="A171" s="75">
        <f t="shared" si="24"/>
        <v>3001</v>
      </c>
      <c r="B171" s="81">
        <f t="shared" si="25"/>
        <v>16991.08799461948</v>
      </c>
      <c r="C171" s="85">
        <f t="shared" si="21"/>
        <v>1255.0918704116457</v>
      </c>
      <c r="D171" s="82"/>
      <c r="E171" s="78">
        <f t="shared" si="26"/>
        <v>53991.104599649159</v>
      </c>
      <c r="F171" s="83">
        <f t="shared" si="23"/>
        <v>18246.179865031125</v>
      </c>
    </row>
    <row r="172" spans="1:6" ht="19">
      <c r="A172" s="75">
        <f t="shared" si="24"/>
        <v>3026</v>
      </c>
      <c r="B172" s="80">
        <f t="shared" si="25"/>
        <v>16991.08799461948</v>
      </c>
      <c r="C172" s="85">
        <f t="shared" si="21"/>
        <v>1265.635316903679</v>
      </c>
      <c r="D172" s="73"/>
      <c r="E172" s="78">
        <f t="shared" si="26"/>
        <v>54444.658905761804</v>
      </c>
      <c r="F172" s="79">
        <f t="shared" si="23"/>
        <v>18256.723311523157</v>
      </c>
    </row>
    <row r="173" spans="1:6" ht="19">
      <c r="A173" s="75">
        <f t="shared" si="24"/>
        <v>3051</v>
      </c>
      <c r="B173" s="81">
        <f t="shared" si="25"/>
        <v>16991.08799461948</v>
      </c>
      <c r="C173" s="85">
        <f t="shared" si="21"/>
        <v>1276.1787633957124</v>
      </c>
      <c r="D173" s="82"/>
      <c r="E173" s="78">
        <f t="shared" si="26"/>
        <v>54898.213211874448</v>
      </c>
      <c r="F173" s="83">
        <f t="shared" si="23"/>
        <v>18267.266758015194</v>
      </c>
    </row>
    <row r="174" spans="1:6" ht="19">
      <c r="A174" s="75">
        <f t="shared" si="24"/>
        <v>3076</v>
      </c>
      <c r="B174" s="80">
        <f t="shared" si="25"/>
        <v>16991.08799461948</v>
      </c>
      <c r="C174" s="85">
        <f t="shared" si="21"/>
        <v>1286.7222098877457</v>
      </c>
      <c r="D174" s="73"/>
      <c r="E174" s="78">
        <f t="shared" si="26"/>
        <v>55351.767517987093</v>
      </c>
      <c r="F174" s="79">
        <f t="shared" si="23"/>
        <v>18277.810204507226</v>
      </c>
    </row>
    <row r="175" spans="1:6" ht="19">
      <c r="A175" s="75">
        <f t="shared" si="24"/>
        <v>3101</v>
      </c>
      <c r="B175" s="81">
        <f t="shared" si="25"/>
        <v>16991.08799461948</v>
      </c>
      <c r="C175" s="85">
        <f t="shared" si="21"/>
        <v>1297.2656563797791</v>
      </c>
      <c r="D175" s="82"/>
      <c r="E175" s="78">
        <f t="shared" si="26"/>
        <v>55805.321824099738</v>
      </c>
      <c r="F175" s="83">
        <f t="shared" si="23"/>
        <v>18288.353650999259</v>
      </c>
    </row>
    <row r="176" spans="1:6" ht="19">
      <c r="A176" s="75">
        <f t="shared" si="24"/>
        <v>3126</v>
      </c>
      <c r="B176" s="80">
        <f t="shared" si="25"/>
        <v>16991.08799461948</v>
      </c>
      <c r="C176" s="85">
        <f t="shared" si="21"/>
        <v>1307.8091028718125</v>
      </c>
      <c r="D176" s="73"/>
      <c r="E176" s="78">
        <f t="shared" si="26"/>
        <v>56258.876130212375</v>
      </c>
      <c r="F176" s="79">
        <f t="shared" si="23"/>
        <v>18298.897097491292</v>
      </c>
    </row>
    <row r="177" spans="1:6" ht="19">
      <c r="A177" s="75">
        <f t="shared" si="24"/>
        <v>3151</v>
      </c>
      <c r="B177" s="81">
        <f t="shared" si="25"/>
        <v>16991.08799461948</v>
      </c>
      <c r="C177" s="85">
        <f t="shared" si="21"/>
        <v>1318.3525493638456</v>
      </c>
      <c r="D177" s="82"/>
      <c r="E177" s="78">
        <f t="shared" si="26"/>
        <v>56712.430436325019</v>
      </c>
      <c r="F177" s="83">
        <f t="shared" si="23"/>
        <v>18309.440543983324</v>
      </c>
    </row>
    <row r="178" spans="1:6" ht="19">
      <c r="A178" s="75">
        <f t="shared" si="24"/>
        <v>3176</v>
      </c>
      <c r="B178" s="80">
        <f t="shared" si="25"/>
        <v>16991.08799461948</v>
      </c>
      <c r="C178" s="85">
        <f t="shared" si="21"/>
        <v>1328.8959958558789</v>
      </c>
      <c r="D178" s="73"/>
      <c r="E178" s="78">
        <f t="shared" si="26"/>
        <v>57165.984742437664</v>
      </c>
      <c r="F178" s="79">
        <f t="shared" si="23"/>
        <v>18319.983990475361</v>
      </c>
    </row>
    <row r="179" spans="1:6" ht="19">
      <c r="A179" s="75">
        <f t="shared" si="24"/>
        <v>3201</v>
      </c>
      <c r="B179" s="81">
        <f t="shared" si="25"/>
        <v>16991.08799461948</v>
      </c>
      <c r="C179" s="85">
        <f t="shared" si="21"/>
        <v>1339.4394423479123</v>
      </c>
      <c r="D179" s="82"/>
      <c r="E179" s="78">
        <f t="shared" si="26"/>
        <v>57619.539048550309</v>
      </c>
      <c r="F179" s="83">
        <f t="shared" si="23"/>
        <v>18330.527436967393</v>
      </c>
    </row>
    <row r="180" spans="1:6" ht="19">
      <c r="A180" s="75">
        <f t="shared" si="24"/>
        <v>3226</v>
      </c>
      <c r="B180" s="80">
        <f t="shared" si="25"/>
        <v>16991.08799461948</v>
      </c>
      <c r="C180" s="85">
        <f t="shared" ref="C180:C243" si="27">A179*B$46</f>
        <v>1349.9828888399456</v>
      </c>
      <c r="D180" s="73"/>
      <c r="E180" s="78">
        <f t="shared" ref="E180:E211" si="28">A179*$B$47</f>
        <v>58073.093354662953</v>
      </c>
      <c r="F180" s="79">
        <f t="shared" ref="F180:F243" si="29">B180+C180</f>
        <v>18341.070883459426</v>
      </c>
    </row>
    <row r="181" spans="1:6" ht="19">
      <c r="A181" s="75">
        <f t="shared" ref="A181:A244" si="30">A180+$B$45</f>
        <v>3251</v>
      </c>
      <c r="B181" s="81">
        <f t="shared" ref="B181:B244" si="31">B180</f>
        <v>16991.08799461948</v>
      </c>
      <c r="C181" s="85">
        <f t="shared" si="27"/>
        <v>1360.526335331979</v>
      </c>
      <c r="D181" s="82"/>
      <c r="E181" s="78">
        <f t="shared" si="28"/>
        <v>58526.647660775598</v>
      </c>
      <c r="F181" s="83">
        <f t="shared" si="29"/>
        <v>18351.614329951459</v>
      </c>
    </row>
    <row r="182" spans="1:6" ht="19">
      <c r="A182" s="75">
        <f t="shared" si="30"/>
        <v>3276</v>
      </c>
      <c r="B182" s="80">
        <f t="shared" si="31"/>
        <v>16991.08799461948</v>
      </c>
      <c r="C182" s="85">
        <f t="shared" si="27"/>
        <v>1371.0697818240124</v>
      </c>
      <c r="D182" s="73"/>
      <c r="E182" s="78">
        <f t="shared" si="28"/>
        <v>58980.201966888242</v>
      </c>
      <c r="F182" s="79">
        <f t="shared" si="29"/>
        <v>18362.157776443491</v>
      </c>
    </row>
    <row r="183" spans="1:6" ht="19">
      <c r="A183" s="75">
        <f t="shared" si="30"/>
        <v>3301</v>
      </c>
      <c r="B183" s="81">
        <f t="shared" si="31"/>
        <v>16991.08799461948</v>
      </c>
      <c r="C183" s="85">
        <f t="shared" si="27"/>
        <v>1381.6132283160455</v>
      </c>
      <c r="D183" s="82"/>
      <c r="E183" s="78">
        <f t="shared" si="28"/>
        <v>59433.756273000887</v>
      </c>
      <c r="F183" s="83">
        <f t="shared" si="29"/>
        <v>18372.701222935524</v>
      </c>
    </row>
    <row r="184" spans="1:6" ht="19">
      <c r="A184" s="75">
        <f t="shared" si="30"/>
        <v>3326</v>
      </c>
      <c r="B184" s="80">
        <f t="shared" si="31"/>
        <v>16991.08799461948</v>
      </c>
      <c r="C184" s="85">
        <f t="shared" si="27"/>
        <v>1392.1566748080788</v>
      </c>
      <c r="D184" s="73"/>
      <c r="E184" s="78">
        <f t="shared" si="28"/>
        <v>59887.310579113531</v>
      </c>
      <c r="F184" s="79">
        <f t="shared" si="29"/>
        <v>18383.24466942756</v>
      </c>
    </row>
    <row r="185" spans="1:6" ht="19">
      <c r="A185" s="75">
        <f t="shared" si="30"/>
        <v>3351</v>
      </c>
      <c r="B185" s="81">
        <f t="shared" si="31"/>
        <v>16991.08799461948</v>
      </c>
      <c r="C185" s="85">
        <f t="shared" si="27"/>
        <v>1402.7001213001122</v>
      </c>
      <c r="D185" s="82"/>
      <c r="E185" s="78">
        <f t="shared" si="28"/>
        <v>60340.864885226176</v>
      </c>
      <c r="F185" s="83">
        <f t="shared" si="29"/>
        <v>18393.788115919593</v>
      </c>
    </row>
    <row r="186" spans="1:6" ht="19">
      <c r="A186" s="75">
        <f t="shared" si="30"/>
        <v>3376</v>
      </c>
      <c r="B186" s="80">
        <f t="shared" si="31"/>
        <v>16991.08799461948</v>
      </c>
      <c r="C186" s="85">
        <f t="shared" si="27"/>
        <v>1413.2435677921455</v>
      </c>
      <c r="D186" s="73"/>
      <c r="E186" s="78">
        <f t="shared" si="28"/>
        <v>60794.41919133882</v>
      </c>
      <c r="F186" s="79">
        <f t="shared" si="29"/>
        <v>18404.331562411626</v>
      </c>
    </row>
    <row r="187" spans="1:6" ht="19">
      <c r="A187" s="75">
        <f t="shared" si="30"/>
        <v>3401</v>
      </c>
      <c r="B187" s="81">
        <f t="shared" si="31"/>
        <v>16991.08799461948</v>
      </c>
      <c r="C187" s="85">
        <f t="shared" si="27"/>
        <v>1423.7870142841789</v>
      </c>
      <c r="D187" s="82"/>
      <c r="E187" s="78">
        <f t="shared" si="28"/>
        <v>61247.973497451465</v>
      </c>
      <c r="F187" s="83">
        <f t="shared" si="29"/>
        <v>18414.875008903658</v>
      </c>
    </row>
    <row r="188" spans="1:6" ht="19">
      <c r="A188" s="75">
        <f t="shared" si="30"/>
        <v>3426</v>
      </c>
      <c r="B188" s="80">
        <f t="shared" si="31"/>
        <v>16991.08799461948</v>
      </c>
      <c r="C188" s="85">
        <f t="shared" si="27"/>
        <v>1434.3304607762122</v>
      </c>
      <c r="D188" s="73"/>
      <c r="E188" s="78">
        <f t="shared" si="28"/>
        <v>61701.527803564109</v>
      </c>
      <c r="F188" s="79">
        <f t="shared" si="29"/>
        <v>18425.418455395691</v>
      </c>
    </row>
    <row r="189" spans="1:6" ht="19">
      <c r="A189" s="75">
        <f t="shared" si="30"/>
        <v>3451</v>
      </c>
      <c r="B189" s="81">
        <f t="shared" si="31"/>
        <v>16991.08799461948</v>
      </c>
      <c r="C189" s="85">
        <f t="shared" si="27"/>
        <v>1444.8739072682454</v>
      </c>
      <c r="D189" s="82"/>
      <c r="E189" s="78">
        <f t="shared" si="28"/>
        <v>62155.082109676754</v>
      </c>
      <c r="F189" s="83">
        <f t="shared" si="29"/>
        <v>18435.961901887724</v>
      </c>
    </row>
    <row r="190" spans="1:6" ht="19">
      <c r="A190" s="75">
        <f t="shared" si="30"/>
        <v>3476</v>
      </c>
      <c r="B190" s="80">
        <f t="shared" si="31"/>
        <v>16991.08799461948</v>
      </c>
      <c r="C190" s="85">
        <f t="shared" si="27"/>
        <v>1455.4173537602787</v>
      </c>
      <c r="D190" s="73"/>
      <c r="E190" s="78">
        <f t="shared" si="28"/>
        <v>62608.636415789399</v>
      </c>
      <c r="F190" s="79">
        <f t="shared" si="29"/>
        <v>18446.50534837976</v>
      </c>
    </row>
    <row r="191" spans="1:6" ht="19">
      <c r="A191" s="75">
        <f t="shared" si="30"/>
        <v>3501</v>
      </c>
      <c r="B191" s="81">
        <f t="shared" si="31"/>
        <v>16991.08799461948</v>
      </c>
      <c r="C191" s="85">
        <f t="shared" si="27"/>
        <v>1465.9608002523121</v>
      </c>
      <c r="D191" s="82"/>
      <c r="E191" s="78">
        <f t="shared" si="28"/>
        <v>63062.190721902043</v>
      </c>
      <c r="F191" s="83">
        <f t="shared" si="29"/>
        <v>18457.048794871793</v>
      </c>
    </row>
    <row r="192" spans="1:6" ht="19">
      <c r="A192" s="75">
        <f t="shared" si="30"/>
        <v>3526</v>
      </c>
      <c r="B192" s="80">
        <f t="shared" si="31"/>
        <v>16991.08799461948</v>
      </c>
      <c r="C192" s="85">
        <f t="shared" si="27"/>
        <v>1476.5042467443454</v>
      </c>
      <c r="D192" s="73"/>
      <c r="E192" s="78">
        <f t="shared" si="28"/>
        <v>63515.745028014688</v>
      </c>
      <c r="F192" s="79">
        <f t="shared" si="29"/>
        <v>18467.592241363825</v>
      </c>
    </row>
    <row r="193" spans="1:6" ht="19">
      <c r="A193" s="75">
        <f t="shared" si="30"/>
        <v>3551</v>
      </c>
      <c r="B193" s="81">
        <f t="shared" si="31"/>
        <v>16991.08799461948</v>
      </c>
      <c r="C193" s="85">
        <f t="shared" si="27"/>
        <v>1487.0476932363788</v>
      </c>
      <c r="D193" s="82"/>
      <c r="E193" s="78">
        <f t="shared" si="28"/>
        <v>63969.299334127332</v>
      </c>
      <c r="F193" s="83">
        <f t="shared" si="29"/>
        <v>18478.135687855858</v>
      </c>
    </row>
    <row r="194" spans="1:6" ht="19">
      <c r="A194" s="75">
        <f t="shared" si="30"/>
        <v>3576</v>
      </c>
      <c r="B194" s="80">
        <f t="shared" si="31"/>
        <v>16991.08799461948</v>
      </c>
      <c r="C194" s="85">
        <f t="shared" si="27"/>
        <v>1497.5911397284121</v>
      </c>
      <c r="D194" s="73"/>
      <c r="E194" s="78">
        <f t="shared" si="28"/>
        <v>64422.85364023997</v>
      </c>
      <c r="F194" s="79">
        <f t="shared" si="29"/>
        <v>18488.679134347891</v>
      </c>
    </row>
    <row r="195" spans="1:6" ht="19">
      <c r="A195" s="75">
        <f t="shared" si="30"/>
        <v>3601</v>
      </c>
      <c r="B195" s="81">
        <f t="shared" si="31"/>
        <v>16991.08799461948</v>
      </c>
      <c r="C195" s="85">
        <f t="shared" si="27"/>
        <v>1508.1345862204453</v>
      </c>
      <c r="D195" s="82"/>
      <c r="E195" s="78">
        <f t="shared" si="28"/>
        <v>64876.407946352614</v>
      </c>
      <c r="F195" s="83">
        <f t="shared" si="29"/>
        <v>18499.222580839923</v>
      </c>
    </row>
    <row r="196" spans="1:6" ht="19">
      <c r="A196" s="75">
        <f t="shared" si="30"/>
        <v>3626</v>
      </c>
      <c r="B196" s="80">
        <f t="shared" si="31"/>
        <v>16991.08799461948</v>
      </c>
      <c r="C196" s="85">
        <f t="shared" si="27"/>
        <v>1518.6780327124786</v>
      </c>
      <c r="D196" s="73"/>
      <c r="E196" s="78">
        <f t="shared" si="28"/>
        <v>65329.962252465259</v>
      </c>
      <c r="F196" s="79">
        <f t="shared" si="29"/>
        <v>18509.76602733196</v>
      </c>
    </row>
    <row r="197" spans="1:6" ht="19">
      <c r="A197" s="75">
        <f t="shared" si="30"/>
        <v>3651</v>
      </c>
      <c r="B197" s="81">
        <f t="shared" si="31"/>
        <v>16991.08799461948</v>
      </c>
      <c r="C197" s="85">
        <f t="shared" si="27"/>
        <v>1529.221479204512</v>
      </c>
      <c r="D197" s="82"/>
      <c r="E197" s="78">
        <f t="shared" si="28"/>
        <v>65783.516558577903</v>
      </c>
      <c r="F197" s="83">
        <f t="shared" si="29"/>
        <v>18520.309473823992</v>
      </c>
    </row>
    <row r="198" spans="1:6" ht="19">
      <c r="A198" s="75">
        <f t="shared" si="30"/>
        <v>3676</v>
      </c>
      <c r="B198" s="80">
        <f t="shared" si="31"/>
        <v>16991.08799461948</v>
      </c>
      <c r="C198" s="85">
        <f t="shared" si="27"/>
        <v>1539.7649256965453</v>
      </c>
      <c r="D198" s="73"/>
      <c r="E198" s="78">
        <f t="shared" si="28"/>
        <v>66237.070864690555</v>
      </c>
      <c r="F198" s="79">
        <f t="shared" si="29"/>
        <v>18530.852920316025</v>
      </c>
    </row>
    <row r="199" spans="1:6" ht="19">
      <c r="A199" s="75">
        <f t="shared" si="30"/>
        <v>3701</v>
      </c>
      <c r="B199" s="81">
        <f t="shared" si="31"/>
        <v>16991.08799461948</v>
      </c>
      <c r="C199" s="85">
        <f t="shared" si="27"/>
        <v>1550.3083721885787</v>
      </c>
      <c r="D199" s="82"/>
      <c r="E199" s="78">
        <f t="shared" si="28"/>
        <v>66690.625170803192</v>
      </c>
      <c r="F199" s="83">
        <f t="shared" si="29"/>
        <v>18541.396366808058</v>
      </c>
    </row>
    <row r="200" spans="1:6" ht="19">
      <c r="A200" s="75">
        <f t="shared" si="30"/>
        <v>3726</v>
      </c>
      <c r="B200" s="80">
        <f t="shared" si="31"/>
        <v>16991.08799461948</v>
      </c>
      <c r="C200" s="85">
        <f t="shared" si="27"/>
        <v>1560.851818680612</v>
      </c>
      <c r="D200" s="73"/>
      <c r="E200" s="78">
        <f t="shared" si="28"/>
        <v>67144.179476915844</v>
      </c>
      <c r="F200" s="79">
        <f t="shared" si="29"/>
        <v>18551.93981330009</v>
      </c>
    </row>
    <row r="201" spans="1:6" ht="19">
      <c r="A201" s="75">
        <f t="shared" si="30"/>
        <v>3751</v>
      </c>
      <c r="B201" s="81">
        <f t="shared" si="31"/>
        <v>16991.08799461948</v>
      </c>
      <c r="C201" s="85">
        <f t="shared" si="27"/>
        <v>1571.3952651726452</v>
      </c>
      <c r="D201" s="82"/>
      <c r="E201" s="78">
        <f t="shared" si="28"/>
        <v>67597.733783028481</v>
      </c>
      <c r="F201" s="83">
        <f t="shared" si="29"/>
        <v>18562.483259792127</v>
      </c>
    </row>
    <row r="202" spans="1:6" ht="19">
      <c r="A202" s="75">
        <f t="shared" si="30"/>
        <v>3776</v>
      </c>
      <c r="B202" s="80">
        <f t="shared" si="31"/>
        <v>16991.08799461948</v>
      </c>
      <c r="C202" s="85">
        <f t="shared" si="27"/>
        <v>1581.9387116646785</v>
      </c>
      <c r="D202" s="73"/>
      <c r="E202" s="78">
        <f t="shared" si="28"/>
        <v>68051.288089141119</v>
      </c>
      <c r="F202" s="79">
        <f t="shared" si="29"/>
        <v>18573.026706284159</v>
      </c>
    </row>
    <row r="203" spans="1:6" ht="19">
      <c r="A203" s="75">
        <f t="shared" si="30"/>
        <v>3801</v>
      </c>
      <c r="B203" s="81">
        <f t="shared" si="31"/>
        <v>16991.08799461948</v>
      </c>
      <c r="C203" s="85">
        <f t="shared" si="27"/>
        <v>1592.4821581567119</v>
      </c>
      <c r="D203" s="82"/>
      <c r="E203" s="78">
        <f t="shared" si="28"/>
        <v>68504.842395253771</v>
      </c>
      <c r="F203" s="83">
        <f t="shared" si="29"/>
        <v>18583.570152776192</v>
      </c>
    </row>
    <row r="204" spans="1:6" ht="19">
      <c r="A204" s="75">
        <f t="shared" si="30"/>
        <v>3826</v>
      </c>
      <c r="B204" s="80">
        <f t="shared" si="31"/>
        <v>16991.08799461948</v>
      </c>
      <c r="C204" s="85">
        <f t="shared" si="27"/>
        <v>1603.0256046487452</v>
      </c>
      <c r="D204" s="73"/>
      <c r="E204" s="78">
        <f t="shared" si="28"/>
        <v>68958.396701366408</v>
      </c>
      <c r="F204" s="79">
        <f t="shared" si="29"/>
        <v>18594.113599268225</v>
      </c>
    </row>
    <row r="205" spans="1:6" ht="19">
      <c r="A205" s="75">
        <f t="shared" si="30"/>
        <v>3851</v>
      </c>
      <c r="B205" s="81">
        <f t="shared" si="31"/>
        <v>16991.08799461948</v>
      </c>
      <c r="C205" s="85">
        <f t="shared" si="27"/>
        <v>1613.5690511407786</v>
      </c>
      <c r="D205" s="82"/>
      <c r="E205" s="78">
        <f t="shared" si="28"/>
        <v>69411.95100747906</v>
      </c>
      <c r="F205" s="83">
        <f t="shared" si="29"/>
        <v>18604.657045760257</v>
      </c>
    </row>
    <row r="206" spans="1:6" ht="19">
      <c r="A206" s="75">
        <f t="shared" si="30"/>
        <v>3876</v>
      </c>
      <c r="B206" s="80">
        <f t="shared" si="31"/>
        <v>16991.08799461948</v>
      </c>
      <c r="C206" s="85">
        <f t="shared" si="27"/>
        <v>1624.1124976328117</v>
      </c>
      <c r="D206" s="73"/>
      <c r="E206" s="78">
        <f t="shared" si="28"/>
        <v>69865.505313591697</v>
      </c>
      <c r="F206" s="79">
        <f t="shared" si="29"/>
        <v>18615.20049225229</v>
      </c>
    </row>
    <row r="207" spans="1:6" ht="19">
      <c r="A207" s="75">
        <f t="shared" si="30"/>
        <v>3901</v>
      </c>
      <c r="B207" s="81">
        <f t="shared" si="31"/>
        <v>16991.08799461948</v>
      </c>
      <c r="C207" s="85">
        <f t="shared" si="27"/>
        <v>1634.6559441248451</v>
      </c>
      <c r="D207" s="82"/>
      <c r="E207" s="78">
        <f t="shared" si="28"/>
        <v>70319.059619704349</v>
      </c>
      <c r="F207" s="83">
        <f t="shared" si="29"/>
        <v>18625.743938744326</v>
      </c>
    </row>
    <row r="208" spans="1:6" ht="19">
      <c r="A208" s="75">
        <f t="shared" si="30"/>
        <v>3926</v>
      </c>
      <c r="B208" s="80">
        <f t="shared" si="31"/>
        <v>16991.08799461948</v>
      </c>
      <c r="C208" s="85">
        <f t="shared" si="27"/>
        <v>1645.1993906168784</v>
      </c>
      <c r="D208" s="73"/>
      <c r="E208" s="78">
        <f t="shared" si="28"/>
        <v>70772.613925816986</v>
      </c>
      <c r="F208" s="79">
        <f t="shared" si="29"/>
        <v>18636.287385236359</v>
      </c>
    </row>
    <row r="209" spans="1:6" ht="19">
      <c r="A209" s="75">
        <f t="shared" si="30"/>
        <v>3951</v>
      </c>
      <c r="B209" s="81">
        <f t="shared" si="31"/>
        <v>16991.08799461948</v>
      </c>
      <c r="C209" s="85">
        <f t="shared" si="27"/>
        <v>1655.7428371089118</v>
      </c>
      <c r="D209" s="82"/>
      <c r="E209" s="78">
        <f t="shared" si="28"/>
        <v>71226.168231929638</v>
      </c>
      <c r="F209" s="83">
        <f t="shared" si="29"/>
        <v>18646.830831728392</v>
      </c>
    </row>
    <row r="210" spans="1:6" ht="19">
      <c r="A210" s="75">
        <f t="shared" si="30"/>
        <v>3976</v>
      </c>
      <c r="B210" s="80">
        <f t="shared" si="31"/>
        <v>16991.08799461948</v>
      </c>
      <c r="C210" s="85">
        <f t="shared" si="27"/>
        <v>1666.2862836009451</v>
      </c>
      <c r="D210" s="73"/>
      <c r="E210" s="78">
        <f t="shared" si="28"/>
        <v>71679.722538042275</v>
      </c>
      <c r="F210" s="79">
        <f t="shared" si="29"/>
        <v>18657.374278220424</v>
      </c>
    </row>
    <row r="211" spans="1:6" ht="19">
      <c r="A211" s="75">
        <f t="shared" si="30"/>
        <v>4001</v>
      </c>
      <c r="B211" s="81">
        <f t="shared" si="31"/>
        <v>16991.08799461948</v>
      </c>
      <c r="C211" s="85">
        <f t="shared" si="27"/>
        <v>1676.8297300929785</v>
      </c>
      <c r="D211" s="82"/>
      <c r="E211" s="78">
        <f t="shared" si="28"/>
        <v>72133.276844154927</v>
      </c>
      <c r="F211" s="83">
        <f t="shared" si="29"/>
        <v>18667.917724712457</v>
      </c>
    </row>
    <row r="212" spans="1:6" ht="19">
      <c r="A212" s="75">
        <f t="shared" si="30"/>
        <v>4026</v>
      </c>
      <c r="B212" s="80">
        <f t="shared" si="31"/>
        <v>16991.08799461948</v>
      </c>
      <c r="C212" s="85">
        <f t="shared" si="27"/>
        <v>1687.3731765850116</v>
      </c>
      <c r="D212" s="73"/>
      <c r="E212" s="78">
        <f t="shared" ref="E212:E244" si="32">A211*$B$47</f>
        <v>72586.831150267564</v>
      </c>
      <c r="F212" s="79">
        <f t="shared" si="29"/>
        <v>18678.461171204493</v>
      </c>
    </row>
    <row r="213" spans="1:6" ht="19">
      <c r="A213" s="75">
        <f t="shared" si="30"/>
        <v>4051</v>
      </c>
      <c r="B213" s="81">
        <f t="shared" si="31"/>
        <v>16991.08799461948</v>
      </c>
      <c r="C213" s="85">
        <f t="shared" si="27"/>
        <v>1697.916623077045</v>
      </c>
      <c r="D213" s="82"/>
      <c r="E213" s="78">
        <f t="shared" si="32"/>
        <v>73040.385456380216</v>
      </c>
      <c r="F213" s="83">
        <f t="shared" si="29"/>
        <v>18689.004617696526</v>
      </c>
    </row>
    <row r="214" spans="1:6" ht="19">
      <c r="A214" s="75">
        <f t="shared" si="30"/>
        <v>4076</v>
      </c>
      <c r="B214" s="80">
        <f t="shared" si="31"/>
        <v>16991.08799461948</v>
      </c>
      <c r="C214" s="85">
        <f t="shared" si="27"/>
        <v>1708.4600695690783</v>
      </c>
      <c r="D214" s="73"/>
      <c r="E214" s="78">
        <f t="shared" si="32"/>
        <v>73493.939762492853</v>
      </c>
      <c r="F214" s="79">
        <f t="shared" si="29"/>
        <v>18699.548064188559</v>
      </c>
    </row>
    <row r="215" spans="1:6" ht="19">
      <c r="A215" s="75">
        <f t="shared" si="30"/>
        <v>4101</v>
      </c>
      <c r="B215" s="81">
        <f t="shared" si="31"/>
        <v>16991.08799461948</v>
      </c>
      <c r="C215" s="85">
        <f t="shared" si="27"/>
        <v>1719.0035160611117</v>
      </c>
      <c r="D215" s="82"/>
      <c r="E215" s="78">
        <f t="shared" si="32"/>
        <v>73947.494068605505</v>
      </c>
      <c r="F215" s="83">
        <f t="shared" si="29"/>
        <v>18710.091510680591</v>
      </c>
    </row>
    <row r="216" spans="1:6" ht="19">
      <c r="A216" s="75">
        <f t="shared" si="30"/>
        <v>4126</v>
      </c>
      <c r="B216" s="80">
        <f t="shared" si="31"/>
        <v>16991.08799461948</v>
      </c>
      <c r="C216" s="85">
        <f t="shared" si="27"/>
        <v>1729.546962553145</v>
      </c>
      <c r="D216" s="73"/>
      <c r="E216" s="78">
        <f t="shared" si="32"/>
        <v>74401.048374718142</v>
      </c>
      <c r="F216" s="79">
        <f t="shared" si="29"/>
        <v>18720.634957172624</v>
      </c>
    </row>
    <row r="217" spans="1:6" ht="19">
      <c r="A217" s="75">
        <f t="shared" si="30"/>
        <v>4151</v>
      </c>
      <c r="B217" s="81">
        <f t="shared" si="31"/>
        <v>16991.08799461948</v>
      </c>
      <c r="C217" s="85">
        <f t="shared" si="27"/>
        <v>1740.0904090451784</v>
      </c>
      <c r="D217" s="82"/>
      <c r="E217" s="78">
        <f t="shared" si="32"/>
        <v>74854.602680830794</v>
      </c>
      <c r="F217" s="83">
        <f t="shared" si="29"/>
        <v>18731.178403664657</v>
      </c>
    </row>
    <row r="218" spans="1:6" ht="19">
      <c r="A218" s="75">
        <f t="shared" si="30"/>
        <v>4176</v>
      </c>
      <c r="B218" s="80">
        <f t="shared" si="31"/>
        <v>16991.08799461948</v>
      </c>
      <c r="C218" s="85">
        <f t="shared" si="27"/>
        <v>1750.6338555372115</v>
      </c>
      <c r="D218" s="73"/>
      <c r="E218" s="78">
        <f t="shared" si="32"/>
        <v>75308.156986943432</v>
      </c>
      <c r="F218" s="79">
        <f t="shared" si="29"/>
        <v>18741.721850156693</v>
      </c>
    </row>
    <row r="219" spans="1:6" ht="19">
      <c r="A219" s="75">
        <f t="shared" si="30"/>
        <v>4201</v>
      </c>
      <c r="B219" s="81">
        <f t="shared" si="31"/>
        <v>16991.08799461948</v>
      </c>
      <c r="C219" s="85">
        <f t="shared" si="27"/>
        <v>1761.1773020292449</v>
      </c>
      <c r="D219" s="82"/>
      <c r="E219" s="78">
        <f t="shared" si="32"/>
        <v>75761.711293056083</v>
      </c>
      <c r="F219" s="83">
        <f t="shared" si="29"/>
        <v>18752.265296648726</v>
      </c>
    </row>
    <row r="220" spans="1:6" ht="19">
      <c r="A220" s="75">
        <f t="shared" si="30"/>
        <v>4226</v>
      </c>
      <c r="B220" s="80">
        <f t="shared" si="31"/>
        <v>16991.08799461948</v>
      </c>
      <c r="C220" s="85">
        <f t="shared" si="27"/>
        <v>1771.7207485212782</v>
      </c>
      <c r="D220" s="73"/>
      <c r="E220" s="78">
        <f t="shared" si="32"/>
        <v>76215.265599168721</v>
      </c>
      <c r="F220" s="79">
        <f t="shared" si="29"/>
        <v>18762.808743140758</v>
      </c>
    </row>
    <row r="221" spans="1:6" ht="19">
      <c r="A221" s="75">
        <f t="shared" si="30"/>
        <v>4251</v>
      </c>
      <c r="B221" s="81">
        <f t="shared" si="31"/>
        <v>16991.08799461948</v>
      </c>
      <c r="C221" s="85">
        <f t="shared" si="27"/>
        <v>1782.2641950133116</v>
      </c>
      <c r="D221" s="82"/>
      <c r="E221" s="78">
        <f t="shared" si="32"/>
        <v>76668.819905281358</v>
      </c>
      <c r="F221" s="83">
        <f t="shared" si="29"/>
        <v>18773.352189632791</v>
      </c>
    </row>
    <row r="222" spans="1:6" ht="19">
      <c r="A222" s="75">
        <f t="shared" si="30"/>
        <v>4276</v>
      </c>
      <c r="B222" s="80">
        <f t="shared" si="31"/>
        <v>16991.08799461948</v>
      </c>
      <c r="C222" s="85">
        <f t="shared" si="27"/>
        <v>1792.8076415053449</v>
      </c>
      <c r="D222" s="73"/>
      <c r="E222" s="78">
        <f t="shared" si="32"/>
        <v>77122.37421139401</v>
      </c>
      <c r="F222" s="79">
        <f t="shared" si="29"/>
        <v>18783.895636124824</v>
      </c>
    </row>
    <row r="223" spans="1:6" ht="19">
      <c r="A223" s="75">
        <f t="shared" si="30"/>
        <v>4301</v>
      </c>
      <c r="B223" s="81">
        <f t="shared" si="31"/>
        <v>16991.08799461948</v>
      </c>
      <c r="C223" s="85">
        <f t="shared" si="27"/>
        <v>1803.3510879973783</v>
      </c>
      <c r="D223" s="82"/>
      <c r="E223" s="78">
        <f t="shared" si="32"/>
        <v>77575.928517506647</v>
      </c>
      <c r="F223" s="83">
        <f t="shared" si="29"/>
        <v>18794.43908261686</v>
      </c>
    </row>
    <row r="224" spans="1:6" ht="19">
      <c r="A224" s="75">
        <f t="shared" si="30"/>
        <v>4326</v>
      </c>
      <c r="B224" s="80">
        <f t="shared" si="31"/>
        <v>16991.08799461948</v>
      </c>
      <c r="C224" s="85">
        <f t="shared" si="27"/>
        <v>1813.8945344894114</v>
      </c>
      <c r="D224" s="73"/>
      <c r="E224" s="78">
        <f t="shared" si="32"/>
        <v>78029.482823619299</v>
      </c>
      <c r="F224" s="79">
        <f t="shared" si="29"/>
        <v>18804.982529108893</v>
      </c>
    </row>
    <row r="225" spans="1:6" ht="19">
      <c r="A225" s="75">
        <f t="shared" si="30"/>
        <v>4351</v>
      </c>
      <c r="B225" s="81">
        <f t="shared" si="31"/>
        <v>16991.08799461948</v>
      </c>
      <c r="C225" s="85">
        <f t="shared" si="27"/>
        <v>1824.4379809814448</v>
      </c>
      <c r="D225" s="82"/>
      <c r="E225" s="78">
        <f t="shared" si="32"/>
        <v>78483.037129731936</v>
      </c>
      <c r="F225" s="83">
        <f t="shared" si="29"/>
        <v>18815.525975600925</v>
      </c>
    </row>
    <row r="226" spans="1:6" ht="19">
      <c r="A226" s="75">
        <f t="shared" si="30"/>
        <v>4376</v>
      </c>
      <c r="B226" s="80">
        <f t="shared" si="31"/>
        <v>16991.08799461948</v>
      </c>
      <c r="C226" s="85">
        <f t="shared" si="27"/>
        <v>1834.9814274734781</v>
      </c>
      <c r="D226" s="73"/>
      <c r="E226" s="78">
        <f t="shared" si="32"/>
        <v>78936.591435844588</v>
      </c>
      <c r="F226" s="79">
        <f t="shared" si="29"/>
        <v>18826.069422092958</v>
      </c>
    </row>
    <row r="227" spans="1:6" ht="19">
      <c r="A227" s="75">
        <f t="shared" si="30"/>
        <v>4401</v>
      </c>
      <c r="B227" s="81">
        <f t="shared" si="31"/>
        <v>16991.08799461948</v>
      </c>
      <c r="C227" s="85">
        <f t="shared" si="27"/>
        <v>1845.5248739655115</v>
      </c>
      <c r="D227" s="82"/>
      <c r="E227" s="78">
        <f t="shared" si="32"/>
        <v>79390.145741957225</v>
      </c>
      <c r="F227" s="83">
        <f t="shared" si="29"/>
        <v>18836.612868584991</v>
      </c>
    </row>
    <row r="228" spans="1:6" ht="19">
      <c r="A228" s="75">
        <f t="shared" si="30"/>
        <v>4426</v>
      </c>
      <c r="B228" s="80">
        <f t="shared" si="31"/>
        <v>16991.08799461948</v>
      </c>
      <c r="C228" s="85">
        <f t="shared" si="27"/>
        <v>1856.0683204575448</v>
      </c>
      <c r="D228" s="73"/>
      <c r="E228" s="78">
        <f t="shared" si="32"/>
        <v>79843.700048069877</v>
      </c>
      <c r="F228" s="79">
        <f t="shared" si="29"/>
        <v>18847.156315077023</v>
      </c>
    </row>
    <row r="229" spans="1:6" ht="19">
      <c r="A229" s="75">
        <f t="shared" si="30"/>
        <v>4451</v>
      </c>
      <c r="B229" s="81">
        <f t="shared" si="31"/>
        <v>16991.08799461948</v>
      </c>
      <c r="C229" s="85">
        <f t="shared" si="27"/>
        <v>1866.6117669495782</v>
      </c>
      <c r="D229" s="82"/>
      <c r="E229" s="78">
        <f t="shared" si="32"/>
        <v>80297.254354182514</v>
      </c>
      <c r="F229" s="83">
        <f t="shared" si="29"/>
        <v>18857.69976156906</v>
      </c>
    </row>
    <row r="230" spans="1:6" ht="19">
      <c r="A230" s="75">
        <f t="shared" si="30"/>
        <v>4476</v>
      </c>
      <c r="B230" s="80">
        <f t="shared" si="31"/>
        <v>16991.08799461948</v>
      </c>
      <c r="C230" s="85">
        <f t="shared" si="27"/>
        <v>1877.1552134416113</v>
      </c>
      <c r="D230" s="73"/>
      <c r="E230" s="78">
        <f t="shared" si="32"/>
        <v>80750.808660295166</v>
      </c>
      <c r="F230" s="79">
        <f t="shared" si="29"/>
        <v>18868.243208061092</v>
      </c>
    </row>
    <row r="231" spans="1:6" ht="19">
      <c r="A231" s="75">
        <f t="shared" si="30"/>
        <v>4501</v>
      </c>
      <c r="B231" s="81">
        <f t="shared" si="31"/>
        <v>16991.08799461948</v>
      </c>
      <c r="C231" s="85">
        <f t="shared" si="27"/>
        <v>1887.6986599336446</v>
      </c>
      <c r="D231" s="82"/>
      <c r="E231" s="78">
        <f t="shared" si="32"/>
        <v>81204.362966407803</v>
      </c>
      <c r="F231" s="83">
        <f t="shared" si="29"/>
        <v>18878.786654553125</v>
      </c>
    </row>
    <row r="232" spans="1:6" ht="19">
      <c r="A232" s="75">
        <f t="shared" si="30"/>
        <v>4526</v>
      </c>
      <c r="B232" s="80">
        <f t="shared" si="31"/>
        <v>16991.08799461948</v>
      </c>
      <c r="C232" s="85">
        <f t="shared" si="27"/>
        <v>1898.242106425678</v>
      </c>
      <c r="D232" s="73"/>
      <c r="E232" s="78">
        <f t="shared" si="32"/>
        <v>81657.917272520455</v>
      </c>
      <c r="F232" s="79">
        <f t="shared" si="29"/>
        <v>18889.330101045158</v>
      </c>
    </row>
    <row r="233" spans="1:6" ht="19">
      <c r="A233" s="75">
        <f t="shared" si="30"/>
        <v>4551</v>
      </c>
      <c r="B233" s="81">
        <f t="shared" si="31"/>
        <v>16991.08799461948</v>
      </c>
      <c r="C233" s="85">
        <f t="shared" si="27"/>
        <v>1908.7855529177114</v>
      </c>
      <c r="D233" s="82"/>
      <c r="E233" s="78">
        <f t="shared" si="32"/>
        <v>82111.471578633093</v>
      </c>
      <c r="F233" s="83">
        <f t="shared" si="29"/>
        <v>18899.87354753719</v>
      </c>
    </row>
    <row r="234" spans="1:6" ht="19">
      <c r="A234" s="75">
        <f t="shared" si="30"/>
        <v>4576</v>
      </c>
      <c r="B234" s="80">
        <f t="shared" si="31"/>
        <v>16991.08799461948</v>
      </c>
      <c r="C234" s="85">
        <f t="shared" si="27"/>
        <v>1919.3289994097447</v>
      </c>
      <c r="D234" s="73"/>
      <c r="E234" s="78">
        <f t="shared" si="32"/>
        <v>82565.025884745744</v>
      </c>
      <c r="F234" s="79">
        <f t="shared" si="29"/>
        <v>18910.416994029223</v>
      </c>
    </row>
    <row r="235" spans="1:6" ht="19">
      <c r="A235" s="75">
        <f t="shared" si="30"/>
        <v>4601</v>
      </c>
      <c r="B235" s="81">
        <f t="shared" si="31"/>
        <v>16991.08799461948</v>
      </c>
      <c r="C235" s="85">
        <f t="shared" si="27"/>
        <v>1929.8724459017781</v>
      </c>
      <c r="D235" s="82"/>
      <c r="E235" s="78">
        <f t="shared" si="32"/>
        <v>83018.580190858382</v>
      </c>
      <c r="F235" s="83">
        <f t="shared" si="29"/>
        <v>18920.960440521259</v>
      </c>
    </row>
    <row r="236" spans="1:6" ht="19">
      <c r="A236" s="75">
        <f t="shared" si="30"/>
        <v>4626</v>
      </c>
      <c r="B236" s="80">
        <f t="shared" si="31"/>
        <v>16991.08799461948</v>
      </c>
      <c r="C236" s="85">
        <f t="shared" si="27"/>
        <v>1940.4158923938112</v>
      </c>
      <c r="D236" s="73"/>
      <c r="E236" s="78">
        <f t="shared" si="32"/>
        <v>83472.134496971034</v>
      </c>
      <c r="F236" s="79">
        <f t="shared" si="29"/>
        <v>18931.503887013292</v>
      </c>
    </row>
    <row r="237" spans="1:6" ht="19">
      <c r="A237" s="75">
        <f t="shared" si="30"/>
        <v>4651</v>
      </c>
      <c r="B237" s="81">
        <f t="shared" si="31"/>
        <v>16991.08799461948</v>
      </c>
      <c r="C237" s="85">
        <f t="shared" si="27"/>
        <v>1950.9593388858445</v>
      </c>
      <c r="D237" s="82"/>
      <c r="E237" s="78">
        <f t="shared" si="32"/>
        <v>83925.688803083671</v>
      </c>
      <c r="F237" s="83">
        <f t="shared" si="29"/>
        <v>18942.047333505325</v>
      </c>
    </row>
    <row r="238" spans="1:6" ht="19">
      <c r="A238" s="75">
        <f t="shared" si="30"/>
        <v>4676</v>
      </c>
      <c r="B238" s="80">
        <f t="shared" si="31"/>
        <v>16991.08799461948</v>
      </c>
      <c r="C238" s="85">
        <f t="shared" si="27"/>
        <v>1961.5027853778779</v>
      </c>
      <c r="D238" s="73"/>
      <c r="E238" s="78">
        <f t="shared" si="32"/>
        <v>84379.243109196308</v>
      </c>
      <c r="F238" s="79">
        <f t="shared" si="29"/>
        <v>18952.590779997357</v>
      </c>
    </row>
    <row r="239" spans="1:6" ht="19">
      <c r="A239" s="75">
        <f t="shared" si="30"/>
        <v>4701</v>
      </c>
      <c r="B239" s="81">
        <f t="shared" si="31"/>
        <v>16991.08799461948</v>
      </c>
      <c r="C239" s="85">
        <f t="shared" si="27"/>
        <v>1972.0462318699113</v>
      </c>
      <c r="D239" s="82"/>
      <c r="E239" s="78">
        <f t="shared" si="32"/>
        <v>84832.79741530896</v>
      </c>
      <c r="F239" s="83">
        <f t="shared" si="29"/>
        <v>18963.13422648939</v>
      </c>
    </row>
    <row r="240" spans="1:6" ht="19">
      <c r="A240" s="75">
        <f t="shared" si="30"/>
        <v>4726</v>
      </c>
      <c r="B240" s="80">
        <f t="shared" si="31"/>
        <v>16991.08799461948</v>
      </c>
      <c r="C240" s="85">
        <f t="shared" si="27"/>
        <v>1982.5896783619446</v>
      </c>
      <c r="D240" s="73"/>
      <c r="E240" s="78">
        <f t="shared" si="32"/>
        <v>85286.351721421597</v>
      </c>
      <c r="F240" s="79">
        <f t="shared" si="29"/>
        <v>18973.677672981423</v>
      </c>
    </row>
    <row r="241" spans="1:6" ht="19">
      <c r="A241" s="75">
        <f t="shared" si="30"/>
        <v>4751</v>
      </c>
      <c r="B241" s="81">
        <f t="shared" si="31"/>
        <v>16991.08799461948</v>
      </c>
      <c r="C241" s="85">
        <f t="shared" si="27"/>
        <v>1993.1331248539777</v>
      </c>
      <c r="D241" s="82"/>
      <c r="E241" s="78">
        <f t="shared" si="32"/>
        <v>85739.906027534249</v>
      </c>
      <c r="F241" s="83">
        <f t="shared" si="29"/>
        <v>18984.221119473459</v>
      </c>
    </row>
    <row r="242" spans="1:6" ht="19">
      <c r="A242" s="75">
        <f t="shared" si="30"/>
        <v>4776</v>
      </c>
      <c r="B242" s="80">
        <f t="shared" si="31"/>
        <v>16991.08799461948</v>
      </c>
      <c r="C242" s="85">
        <f t="shared" si="27"/>
        <v>2003.6765713460111</v>
      </c>
      <c r="D242" s="73"/>
      <c r="E242" s="78">
        <f t="shared" si="32"/>
        <v>86193.460333646886</v>
      </c>
      <c r="F242" s="79">
        <f t="shared" si="29"/>
        <v>18994.764565965492</v>
      </c>
    </row>
    <row r="243" spans="1:6" ht="19">
      <c r="A243" s="75">
        <f t="shared" si="30"/>
        <v>4801</v>
      </c>
      <c r="B243" s="81">
        <f t="shared" si="31"/>
        <v>16991.08799461948</v>
      </c>
      <c r="C243" s="85">
        <f t="shared" si="27"/>
        <v>2014.2200178380444</v>
      </c>
      <c r="D243" s="82"/>
      <c r="E243" s="78">
        <f t="shared" si="32"/>
        <v>86647.014639759538</v>
      </c>
      <c r="F243" s="83">
        <f t="shared" si="29"/>
        <v>19005.308012457524</v>
      </c>
    </row>
    <row r="244" spans="1:6" ht="19">
      <c r="A244" s="75">
        <f t="shared" si="30"/>
        <v>4826</v>
      </c>
      <c r="B244" s="80">
        <f t="shared" si="31"/>
        <v>16991.08799461948</v>
      </c>
      <c r="C244" s="85">
        <f t="shared" ref="C244:C275" si="33">A243*B$46</f>
        <v>2024.7634643300778</v>
      </c>
      <c r="D244" s="73"/>
      <c r="E244" s="78">
        <f t="shared" si="32"/>
        <v>87100.568945872175</v>
      </c>
      <c r="F244" s="79">
        <f t="shared" ref="F244:F275" si="34">B244+C244</f>
        <v>19015.851458949557</v>
      </c>
    </row>
    <row r="245" spans="1:6" ht="19">
      <c r="A245" s="75">
        <f t="shared" ref="A245:A274" si="35">A244+$B$45</f>
        <v>4851</v>
      </c>
      <c r="B245" s="81">
        <f t="shared" ref="B245:B275" si="36">B244</f>
        <v>16991.08799461948</v>
      </c>
      <c r="C245" s="85">
        <f t="shared" si="33"/>
        <v>2035.3069108221111</v>
      </c>
      <c r="D245" s="82"/>
      <c r="E245" s="78">
        <f t="shared" ref="E245:E275" si="37">A244*$B$47</f>
        <v>87554.123251984827</v>
      </c>
      <c r="F245" s="83">
        <f t="shared" si="34"/>
        <v>19026.39490544159</v>
      </c>
    </row>
    <row r="246" spans="1:6" ht="19">
      <c r="A246" s="75">
        <f t="shared" si="35"/>
        <v>4876</v>
      </c>
      <c r="B246" s="80">
        <f t="shared" si="36"/>
        <v>16991.08799461948</v>
      </c>
      <c r="C246" s="85">
        <f t="shared" si="33"/>
        <v>2045.8503573141445</v>
      </c>
      <c r="D246" s="73"/>
      <c r="E246" s="78">
        <f t="shared" si="37"/>
        <v>88007.677558097464</v>
      </c>
      <c r="F246" s="79">
        <f t="shared" si="34"/>
        <v>19036.938351933626</v>
      </c>
    </row>
    <row r="247" spans="1:6" ht="19">
      <c r="A247" s="75">
        <f t="shared" si="35"/>
        <v>4901</v>
      </c>
      <c r="B247" s="81">
        <f t="shared" si="36"/>
        <v>16991.08799461948</v>
      </c>
      <c r="C247" s="85">
        <f t="shared" si="33"/>
        <v>2056.3938038061779</v>
      </c>
      <c r="D247" s="82"/>
      <c r="E247" s="78">
        <f t="shared" si="37"/>
        <v>88461.231864210116</v>
      </c>
      <c r="F247" s="83">
        <f t="shared" si="34"/>
        <v>19047.481798425659</v>
      </c>
    </row>
    <row r="248" spans="1:6" ht="19">
      <c r="A248" s="75">
        <f t="shared" si="35"/>
        <v>4926</v>
      </c>
      <c r="B248" s="80">
        <f t="shared" si="36"/>
        <v>16991.08799461948</v>
      </c>
      <c r="C248" s="85">
        <f t="shared" si="33"/>
        <v>2066.937250298211</v>
      </c>
      <c r="D248" s="73"/>
      <c r="E248" s="78">
        <f t="shared" si="37"/>
        <v>88914.786170322754</v>
      </c>
      <c r="F248" s="79">
        <f t="shared" si="34"/>
        <v>19058.025244917691</v>
      </c>
    </row>
    <row r="249" spans="1:6" ht="19">
      <c r="A249" s="75">
        <f t="shared" si="35"/>
        <v>4951</v>
      </c>
      <c r="B249" s="81">
        <f t="shared" si="36"/>
        <v>16991.08799461948</v>
      </c>
      <c r="C249" s="85">
        <f t="shared" si="33"/>
        <v>2077.4806967902446</v>
      </c>
      <c r="D249" s="82"/>
      <c r="E249" s="78">
        <f t="shared" si="37"/>
        <v>89368.340476435405</v>
      </c>
      <c r="F249" s="83">
        <f t="shared" si="34"/>
        <v>19068.568691409724</v>
      </c>
    </row>
    <row r="250" spans="1:6" ht="19">
      <c r="A250" s="75">
        <f t="shared" si="35"/>
        <v>4976</v>
      </c>
      <c r="B250" s="80">
        <f t="shared" si="36"/>
        <v>16991.08799461948</v>
      </c>
      <c r="C250" s="85">
        <f t="shared" si="33"/>
        <v>2088.0241432822777</v>
      </c>
      <c r="D250" s="73"/>
      <c r="E250" s="78">
        <f t="shared" si="37"/>
        <v>89821.894782548043</v>
      </c>
      <c r="F250" s="79">
        <f t="shared" si="34"/>
        <v>19079.112137901757</v>
      </c>
    </row>
    <row r="251" spans="1:6" ht="19">
      <c r="A251" s="75">
        <f t="shared" si="35"/>
        <v>5001</v>
      </c>
      <c r="B251" s="81">
        <f t="shared" si="36"/>
        <v>16991.08799461948</v>
      </c>
      <c r="C251" s="85">
        <f t="shared" si="33"/>
        <v>2098.5675897743108</v>
      </c>
      <c r="D251" s="82"/>
      <c r="E251" s="78">
        <f t="shared" si="37"/>
        <v>90275.449088660695</v>
      </c>
      <c r="F251" s="83">
        <f t="shared" si="34"/>
        <v>19089.655584393789</v>
      </c>
    </row>
    <row r="252" spans="1:6" ht="19">
      <c r="A252" s="75">
        <f t="shared" si="35"/>
        <v>5026</v>
      </c>
      <c r="B252" s="80">
        <f t="shared" si="36"/>
        <v>16991.08799461948</v>
      </c>
      <c r="C252" s="85">
        <f t="shared" si="33"/>
        <v>2109.1110362663444</v>
      </c>
      <c r="D252" s="73"/>
      <c r="E252" s="78">
        <f t="shared" si="37"/>
        <v>90729.003394773332</v>
      </c>
      <c r="F252" s="79">
        <f t="shared" si="34"/>
        <v>19100.199030885826</v>
      </c>
    </row>
    <row r="253" spans="1:6" ht="19">
      <c r="A253" s="75">
        <f t="shared" si="35"/>
        <v>5051</v>
      </c>
      <c r="B253" s="81">
        <f t="shared" si="36"/>
        <v>16991.08799461948</v>
      </c>
      <c r="C253" s="85">
        <f t="shared" si="33"/>
        <v>2119.6544827583775</v>
      </c>
      <c r="D253" s="82"/>
      <c r="E253" s="78">
        <f t="shared" si="37"/>
        <v>91182.557700885984</v>
      </c>
      <c r="F253" s="83">
        <f t="shared" si="34"/>
        <v>19110.742477377858</v>
      </c>
    </row>
    <row r="254" spans="1:6" ht="19">
      <c r="A254" s="75">
        <f t="shared" si="35"/>
        <v>5076</v>
      </c>
      <c r="B254" s="80">
        <f t="shared" si="36"/>
        <v>16991.08799461948</v>
      </c>
      <c r="C254" s="85">
        <f t="shared" si="33"/>
        <v>2130.1979292504111</v>
      </c>
      <c r="D254" s="73"/>
      <c r="E254" s="78">
        <f t="shared" si="37"/>
        <v>91636.112006998621</v>
      </c>
      <c r="F254" s="79">
        <f t="shared" si="34"/>
        <v>19121.285923869891</v>
      </c>
    </row>
    <row r="255" spans="1:6" ht="19">
      <c r="A255" s="75">
        <f t="shared" si="35"/>
        <v>5101</v>
      </c>
      <c r="B255" s="81">
        <f t="shared" si="36"/>
        <v>16991.08799461948</v>
      </c>
      <c r="C255" s="85">
        <f t="shared" si="33"/>
        <v>2140.7413757424442</v>
      </c>
      <c r="D255" s="82"/>
      <c r="E255" s="78">
        <f t="shared" si="37"/>
        <v>92089.666313111258</v>
      </c>
      <c r="F255" s="83">
        <f t="shared" si="34"/>
        <v>19131.829370361924</v>
      </c>
    </row>
    <row r="256" spans="1:6" ht="19">
      <c r="A256" s="75">
        <f t="shared" si="35"/>
        <v>5126</v>
      </c>
      <c r="B256" s="80">
        <f t="shared" si="36"/>
        <v>16991.08799461948</v>
      </c>
      <c r="C256" s="85">
        <f t="shared" si="33"/>
        <v>2151.2848222344774</v>
      </c>
      <c r="D256" s="73"/>
      <c r="E256" s="78">
        <f t="shared" si="37"/>
        <v>92543.22061922391</v>
      </c>
      <c r="F256" s="79">
        <f t="shared" si="34"/>
        <v>19142.372816853956</v>
      </c>
    </row>
    <row r="257" spans="1:6" ht="19">
      <c r="A257" s="75">
        <f t="shared" si="35"/>
        <v>5151</v>
      </c>
      <c r="B257" s="81">
        <f t="shared" si="36"/>
        <v>16991.08799461948</v>
      </c>
      <c r="C257" s="85">
        <f t="shared" si="33"/>
        <v>2161.8282687265109</v>
      </c>
      <c r="D257" s="82"/>
      <c r="E257" s="78">
        <f t="shared" si="37"/>
        <v>92996.774925336547</v>
      </c>
      <c r="F257" s="83">
        <f t="shared" si="34"/>
        <v>19152.916263345993</v>
      </c>
    </row>
    <row r="258" spans="1:6" ht="19">
      <c r="A258" s="75">
        <f t="shared" si="35"/>
        <v>5176</v>
      </c>
      <c r="B258" s="80">
        <f t="shared" si="36"/>
        <v>16991.08799461948</v>
      </c>
      <c r="C258" s="85">
        <f t="shared" si="33"/>
        <v>2172.3717152185441</v>
      </c>
      <c r="D258" s="73"/>
      <c r="E258" s="78">
        <f t="shared" si="37"/>
        <v>93450.329231449199</v>
      </c>
      <c r="F258" s="79">
        <f t="shared" si="34"/>
        <v>19163.459709838025</v>
      </c>
    </row>
    <row r="259" spans="1:6" ht="19">
      <c r="A259" s="75">
        <f t="shared" si="35"/>
        <v>5201</v>
      </c>
      <c r="B259" s="81">
        <f t="shared" si="36"/>
        <v>16991.08799461948</v>
      </c>
      <c r="C259" s="85">
        <f t="shared" si="33"/>
        <v>2182.9151617105776</v>
      </c>
      <c r="D259" s="82"/>
      <c r="E259" s="78">
        <f t="shared" si="37"/>
        <v>93903.883537561836</v>
      </c>
      <c r="F259" s="83">
        <f t="shared" si="34"/>
        <v>19174.003156330058</v>
      </c>
    </row>
    <row r="260" spans="1:6" ht="19">
      <c r="A260" s="75">
        <f t="shared" si="35"/>
        <v>5226</v>
      </c>
      <c r="B260" s="80">
        <f t="shared" si="36"/>
        <v>16991.08799461948</v>
      </c>
      <c r="C260" s="85">
        <f t="shared" si="33"/>
        <v>2193.4586082026108</v>
      </c>
      <c r="D260" s="73"/>
      <c r="E260" s="78">
        <f t="shared" si="37"/>
        <v>94357.437843674488</v>
      </c>
      <c r="F260" s="79">
        <f t="shared" si="34"/>
        <v>19184.546602822091</v>
      </c>
    </row>
    <row r="261" spans="1:6" ht="19">
      <c r="A261" s="75">
        <f t="shared" si="35"/>
        <v>5251</v>
      </c>
      <c r="B261" s="81">
        <f t="shared" si="36"/>
        <v>16991.08799461948</v>
      </c>
      <c r="C261" s="85">
        <f t="shared" si="33"/>
        <v>2204.0020546946444</v>
      </c>
      <c r="D261" s="82"/>
      <c r="E261" s="78">
        <f t="shared" si="37"/>
        <v>94810.992149787126</v>
      </c>
      <c r="F261" s="83">
        <f t="shared" si="34"/>
        <v>19195.090049314123</v>
      </c>
    </row>
    <row r="262" spans="1:6" ht="19">
      <c r="A262" s="75">
        <f t="shared" si="35"/>
        <v>5276</v>
      </c>
      <c r="B262" s="80">
        <f t="shared" si="36"/>
        <v>16991.08799461948</v>
      </c>
      <c r="C262" s="85">
        <f t="shared" si="33"/>
        <v>2214.5455011866775</v>
      </c>
      <c r="D262" s="73"/>
      <c r="E262" s="78">
        <f t="shared" si="37"/>
        <v>95264.546455899777</v>
      </c>
      <c r="F262" s="79">
        <f t="shared" si="34"/>
        <v>19205.633495806156</v>
      </c>
    </row>
    <row r="263" spans="1:6" ht="19">
      <c r="A263" s="75">
        <f t="shared" si="35"/>
        <v>5301</v>
      </c>
      <c r="B263" s="81">
        <f t="shared" si="36"/>
        <v>16991.08799461948</v>
      </c>
      <c r="C263" s="85">
        <f t="shared" si="33"/>
        <v>2225.0889476787106</v>
      </c>
      <c r="D263" s="82"/>
      <c r="E263" s="78">
        <f t="shared" si="37"/>
        <v>95718.100762012415</v>
      </c>
      <c r="F263" s="83">
        <f t="shared" si="34"/>
        <v>19216.176942298189</v>
      </c>
    </row>
    <row r="264" spans="1:6" ht="19">
      <c r="A264" s="75">
        <f t="shared" si="35"/>
        <v>5326</v>
      </c>
      <c r="B264" s="80">
        <f t="shared" si="36"/>
        <v>16991.08799461948</v>
      </c>
      <c r="C264" s="85">
        <f t="shared" si="33"/>
        <v>2235.6323941707442</v>
      </c>
      <c r="D264" s="73"/>
      <c r="E264" s="78">
        <f t="shared" si="37"/>
        <v>96171.655068125066</v>
      </c>
      <c r="F264" s="79">
        <f t="shared" si="34"/>
        <v>19226.720388790225</v>
      </c>
    </row>
    <row r="265" spans="1:6" ht="19">
      <c r="A265" s="75">
        <f t="shared" si="35"/>
        <v>5351</v>
      </c>
      <c r="B265" s="81">
        <f t="shared" si="36"/>
        <v>16991.08799461948</v>
      </c>
      <c r="C265" s="85">
        <f t="shared" si="33"/>
        <v>2246.1758406627773</v>
      </c>
      <c r="D265" s="82"/>
      <c r="E265" s="78">
        <f t="shared" si="37"/>
        <v>96625.209374237704</v>
      </c>
      <c r="F265" s="83">
        <f t="shared" si="34"/>
        <v>19237.263835282258</v>
      </c>
    </row>
    <row r="266" spans="1:6" ht="19">
      <c r="A266" s="75">
        <f t="shared" si="35"/>
        <v>5376</v>
      </c>
      <c r="B266" s="80">
        <f t="shared" si="36"/>
        <v>16991.08799461948</v>
      </c>
      <c r="C266" s="85">
        <f t="shared" si="33"/>
        <v>2256.7192871548109</v>
      </c>
      <c r="D266" s="73"/>
      <c r="E266" s="78">
        <f t="shared" si="37"/>
        <v>97078.763680350356</v>
      </c>
      <c r="F266" s="79">
        <f t="shared" si="34"/>
        <v>19247.80728177429</v>
      </c>
    </row>
    <row r="267" spans="1:6" ht="19">
      <c r="A267" s="75">
        <f t="shared" si="35"/>
        <v>5401</v>
      </c>
      <c r="B267" s="81">
        <f t="shared" si="36"/>
        <v>16991.08799461948</v>
      </c>
      <c r="C267" s="85">
        <f t="shared" si="33"/>
        <v>2267.262733646844</v>
      </c>
      <c r="D267" s="82"/>
      <c r="E267" s="78">
        <f t="shared" si="37"/>
        <v>97532.317986462993</v>
      </c>
      <c r="F267" s="83">
        <f t="shared" si="34"/>
        <v>19258.350728266323</v>
      </c>
    </row>
    <row r="268" spans="1:6" ht="19">
      <c r="A268" s="75">
        <f t="shared" si="35"/>
        <v>5426</v>
      </c>
      <c r="B268" s="80">
        <f t="shared" si="36"/>
        <v>16991.08799461948</v>
      </c>
      <c r="C268" s="85">
        <f t="shared" si="33"/>
        <v>2277.8061801388772</v>
      </c>
      <c r="D268" s="73"/>
      <c r="E268" s="78">
        <f t="shared" si="37"/>
        <v>97985.872292575645</v>
      </c>
      <c r="F268" s="79">
        <f t="shared" si="34"/>
        <v>19268.894174758356</v>
      </c>
    </row>
    <row r="269" spans="1:6" ht="19">
      <c r="A269" s="75">
        <f t="shared" si="35"/>
        <v>5451</v>
      </c>
      <c r="B269" s="81">
        <f t="shared" si="36"/>
        <v>16991.08799461948</v>
      </c>
      <c r="C269" s="85">
        <f t="shared" si="33"/>
        <v>2288.3496266309107</v>
      </c>
      <c r="D269" s="82"/>
      <c r="E269" s="78">
        <f t="shared" si="37"/>
        <v>98439.426598688282</v>
      </c>
      <c r="F269" s="83">
        <f t="shared" si="34"/>
        <v>19279.437621250392</v>
      </c>
    </row>
    <row r="270" spans="1:6" ht="19">
      <c r="A270" s="75">
        <f t="shared" si="35"/>
        <v>5476</v>
      </c>
      <c r="B270" s="80">
        <f t="shared" si="36"/>
        <v>16991.08799461948</v>
      </c>
      <c r="C270" s="85">
        <f t="shared" si="33"/>
        <v>2298.8930731229439</v>
      </c>
      <c r="D270" s="73"/>
      <c r="E270" s="78">
        <f t="shared" si="37"/>
        <v>98892.980904800934</v>
      </c>
      <c r="F270" s="79">
        <f t="shared" si="34"/>
        <v>19289.981067742425</v>
      </c>
    </row>
    <row r="271" spans="1:6" ht="19">
      <c r="A271" s="75">
        <f t="shared" si="35"/>
        <v>5501</v>
      </c>
      <c r="B271" s="81">
        <f t="shared" si="36"/>
        <v>16991.08799461948</v>
      </c>
      <c r="C271" s="85">
        <f t="shared" si="33"/>
        <v>2309.4365196149774</v>
      </c>
      <c r="D271" s="82"/>
      <c r="E271" s="78">
        <f t="shared" si="37"/>
        <v>99346.535210913571</v>
      </c>
      <c r="F271" s="83">
        <f t="shared" si="34"/>
        <v>19300.524514234457</v>
      </c>
    </row>
    <row r="272" spans="1:6" ht="19">
      <c r="A272" s="75">
        <f t="shared" si="35"/>
        <v>5526</v>
      </c>
      <c r="B272" s="80">
        <f t="shared" si="36"/>
        <v>16991.08799461948</v>
      </c>
      <c r="C272" s="85">
        <f t="shared" si="33"/>
        <v>2319.9799661070106</v>
      </c>
      <c r="D272" s="73"/>
      <c r="E272" s="78">
        <f t="shared" si="37"/>
        <v>99800.089517026208</v>
      </c>
      <c r="F272" s="79">
        <f t="shared" si="34"/>
        <v>19311.06796072649</v>
      </c>
    </row>
    <row r="273" spans="1:6" ht="19">
      <c r="A273" s="75">
        <f t="shared" si="35"/>
        <v>5551</v>
      </c>
      <c r="B273" s="81">
        <f t="shared" si="36"/>
        <v>16991.08799461948</v>
      </c>
      <c r="C273" s="85">
        <f t="shared" si="33"/>
        <v>2330.5234125990437</v>
      </c>
      <c r="D273" s="82"/>
      <c r="E273" s="78">
        <f t="shared" si="37"/>
        <v>100253.64382313886</v>
      </c>
      <c r="F273" s="83">
        <f t="shared" si="34"/>
        <v>19321.611407218523</v>
      </c>
    </row>
    <row r="274" spans="1:6" ht="19">
      <c r="A274" s="75">
        <f t="shared" si="35"/>
        <v>5576</v>
      </c>
      <c r="B274" s="80">
        <f t="shared" si="36"/>
        <v>16991.08799461948</v>
      </c>
      <c r="C274" s="85">
        <f t="shared" si="33"/>
        <v>2341.0668590910773</v>
      </c>
      <c r="D274" s="73"/>
      <c r="E274" s="78">
        <f t="shared" si="37"/>
        <v>100707.1981292515</v>
      </c>
      <c r="F274" s="79">
        <f t="shared" si="34"/>
        <v>19332.154853710555</v>
      </c>
    </row>
    <row r="275" spans="1:6" ht="19">
      <c r="B275" s="81">
        <f t="shared" si="36"/>
        <v>16991.08799461948</v>
      </c>
      <c r="C275" s="85">
        <f t="shared" si="33"/>
        <v>2351.6103055831104</v>
      </c>
      <c r="D275" s="82"/>
      <c r="E275" s="78">
        <f t="shared" si="37"/>
        <v>101160.75243536415</v>
      </c>
      <c r="F275" s="83">
        <f t="shared" si="34"/>
        <v>19342.698300202592</v>
      </c>
    </row>
  </sheetData>
  <phoneticPr fontId="41" type="noConversion"/>
  <pageMargins left="0.7" right="0.7" top="0.75" bottom="0.75" header="0.3" footer="0.3"/>
  <pageSetup paperSize="9"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45"/>
  <sheetViews>
    <sheetView topLeftCell="A12" zoomScaleNormal="100" workbookViewId="0">
      <selection activeCell="R2" sqref="R2"/>
    </sheetView>
  </sheetViews>
  <sheetFormatPr baseColWidth="10" defaultColWidth="10.83203125" defaultRowHeight="15"/>
  <cols>
    <col min="1" max="1" width="22.83203125" style="24" customWidth="1"/>
    <col min="2" max="2" width="18.83203125" style="24" customWidth="1"/>
    <col min="3" max="3" width="13.6640625" style="24" customWidth="1"/>
    <col min="4" max="5" width="10.83203125" style="24"/>
    <col min="6" max="6" width="13.83203125" style="24" customWidth="1"/>
    <col min="7" max="12" width="10.83203125" style="24"/>
    <col min="13" max="13" width="11.6640625" style="24" bestFit="1" customWidth="1"/>
    <col min="14" max="14" width="14.1640625" style="24" customWidth="1"/>
    <col min="15" max="15" width="11" style="24" bestFit="1" customWidth="1"/>
    <col min="16" max="16" width="11" style="24" customWidth="1"/>
    <col min="17" max="18" width="10.83203125" style="24"/>
    <col min="19" max="20" width="13.83203125" style="24" customWidth="1"/>
    <col min="21" max="21" width="14.6640625" style="24" customWidth="1"/>
    <col min="22" max="23" width="12.83203125" style="24" bestFit="1" customWidth="1"/>
    <col min="24" max="25" width="13" style="24" bestFit="1" customWidth="1"/>
    <col min="26" max="26" width="13.1640625" style="24" bestFit="1" customWidth="1"/>
    <col min="27" max="27" width="11.83203125" style="24" bestFit="1" customWidth="1"/>
    <col min="28" max="28" width="11.1640625" style="24" bestFit="1" customWidth="1"/>
    <col min="29" max="29" width="12.83203125" style="24" bestFit="1" customWidth="1"/>
    <col min="30" max="33" width="11" style="24" bestFit="1" customWidth="1"/>
    <col min="34" max="34" width="14.1640625" style="24" bestFit="1" customWidth="1"/>
    <col min="35" max="35" width="12.5" style="24" bestFit="1" customWidth="1"/>
    <col min="36" max="38" width="14.1640625" style="24" bestFit="1" customWidth="1"/>
    <col min="39" max="39" width="12.5" style="24" bestFit="1" customWidth="1"/>
    <col min="40" max="41" width="14.1640625" style="24" bestFit="1" customWidth="1"/>
    <col min="42" max="16384" width="10.83203125" style="24"/>
  </cols>
  <sheetData>
    <row r="1" spans="1:41">
      <c r="J1" s="13">
        <v>1.0529999999999999</v>
      </c>
      <c r="K1" s="13">
        <v>0.08</v>
      </c>
      <c r="L1" s="13"/>
      <c r="N1" s="13">
        <v>1.0620000000000001</v>
      </c>
      <c r="R1" s="13">
        <v>1.0669999999999999</v>
      </c>
    </row>
    <row r="2" spans="1:41" ht="136">
      <c r="A2" s="197" t="s">
        <v>194</v>
      </c>
      <c r="B2" s="197" t="s">
        <v>216</v>
      </c>
      <c r="C2" s="197" t="s">
        <v>195</v>
      </c>
      <c r="D2" s="197" t="s">
        <v>196</v>
      </c>
      <c r="E2" s="197" t="s">
        <v>0</v>
      </c>
      <c r="F2" s="198" t="s">
        <v>287</v>
      </c>
      <c r="G2" s="198" t="s">
        <v>305</v>
      </c>
      <c r="H2" s="198" t="s">
        <v>304</v>
      </c>
      <c r="I2" s="198" t="s">
        <v>288</v>
      </c>
      <c r="J2" s="199" t="s">
        <v>289</v>
      </c>
      <c r="K2" s="199" t="s">
        <v>306</v>
      </c>
      <c r="L2" s="199" t="s">
        <v>307</v>
      </c>
      <c r="M2" s="199" t="s">
        <v>290</v>
      </c>
      <c r="N2" s="200" t="s">
        <v>292</v>
      </c>
      <c r="O2" s="200" t="s">
        <v>308</v>
      </c>
      <c r="P2" s="200" t="s">
        <v>309</v>
      </c>
      <c r="Q2" s="200" t="s">
        <v>197</v>
      </c>
      <c r="R2" s="201" t="s">
        <v>293</v>
      </c>
      <c r="S2" s="201" t="s">
        <v>311</v>
      </c>
      <c r="T2" s="201" t="s">
        <v>312</v>
      </c>
      <c r="U2" s="201" t="s">
        <v>291</v>
      </c>
      <c r="V2" s="199" t="s">
        <v>294</v>
      </c>
      <c r="W2" s="199" t="s">
        <v>310</v>
      </c>
      <c r="X2" s="199" t="s">
        <v>313</v>
      </c>
      <c r="Y2" s="199" t="s">
        <v>295</v>
      </c>
      <c r="Z2" s="200" t="s">
        <v>296</v>
      </c>
      <c r="AA2" s="200" t="s">
        <v>314</v>
      </c>
      <c r="AB2" s="200" t="s">
        <v>315</v>
      </c>
      <c r="AC2" s="200" t="s">
        <v>297</v>
      </c>
      <c r="AD2" s="201" t="s">
        <v>298</v>
      </c>
      <c r="AE2" s="201" t="s">
        <v>318</v>
      </c>
      <c r="AF2" s="201" t="s">
        <v>319</v>
      </c>
      <c r="AG2" s="201" t="s">
        <v>299</v>
      </c>
      <c r="AH2" s="200" t="s">
        <v>300</v>
      </c>
      <c r="AI2" s="200" t="s">
        <v>316</v>
      </c>
      <c r="AJ2" s="200" t="s">
        <v>317</v>
      </c>
      <c r="AK2" s="200" t="s">
        <v>301</v>
      </c>
      <c r="AL2" s="201" t="s">
        <v>302</v>
      </c>
      <c r="AM2" s="342" t="s">
        <v>320</v>
      </c>
      <c r="AN2" s="343" t="s">
        <v>321</v>
      </c>
      <c r="AO2" s="201" t="s">
        <v>303</v>
      </c>
    </row>
    <row r="3" spans="1:41" ht="41" customHeight="1">
      <c r="A3" s="197" t="s">
        <v>59</v>
      </c>
      <c r="B3" s="197"/>
      <c r="C3" s="197"/>
      <c r="D3" s="197"/>
      <c r="E3" s="197"/>
      <c r="F3" s="197"/>
      <c r="G3" s="202"/>
      <c r="H3" s="202"/>
      <c r="I3" s="202"/>
      <c r="J3" s="203"/>
      <c r="K3" s="203"/>
      <c r="L3" s="203"/>
      <c r="M3" s="203"/>
      <c r="N3" s="204"/>
      <c r="O3" s="204"/>
      <c r="P3" s="204"/>
      <c r="Q3" s="204"/>
      <c r="R3" s="205"/>
      <c r="S3" s="205"/>
      <c r="T3" s="205"/>
      <c r="U3" s="205"/>
      <c r="V3" s="203"/>
      <c r="W3" s="203"/>
      <c r="X3" s="203"/>
      <c r="Y3" s="203"/>
      <c r="Z3" s="204"/>
      <c r="AA3" s="204"/>
      <c r="AB3" s="204"/>
      <c r="AC3" s="204"/>
      <c r="AD3" s="205"/>
      <c r="AE3" s="205"/>
      <c r="AF3" s="205"/>
      <c r="AG3" s="205"/>
      <c r="AH3" s="204"/>
      <c r="AI3" s="204"/>
      <c r="AJ3" s="204"/>
      <c r="AK3" s="204"/>
      <c r="AL3" s="205"/>
      <c r="AM3" s="205"/>
      <c r="AN3" s="205"/>
      <c r="AO3" s="205"/>
    </row>
    <row r="4" spans="1:41" ht="35" thickBot="1">
      <c r="A4" s="297" t="s">
        <v>225</v>
      </c>
      <c r="B4" s="236">
        <v>12</v>
      </c>
      <c r="C4" s="257">
        <v>70</v>
      </c>
      <c r="D4" s="237">
        <v>1</v>
      </c>
      <c r="E4" s="237">
        <v>1</v>
      </c>
      <c r="F4" s="257">
        <f>C4*E4*B4*D4</f>
        <v>840</v>
      </c>
      <c r="G4" s="286">
        <f>(C4*E4*B4-12.702*E4*B4)*15.4%+(12.702*B4)*30.4%</f>
        <v>152.2236</v>
      </c>
      <c r="H4" s="286">
        <v>0</v>
      </c>
      <c r="I4" s="287">
        <f>F4+G4</f>
        <v>992.22360000000003</v>
      </c>
      <c r="J4" s="293">
        <f>C4*12*$J$1</f>
        <v>884.52</v>
      </c>
      <c r="K4" s="293">
        <f>(J4-12.702*$J$1*12)*15.4%+(12.702*$J$1*12)*30.4%</f>
        <v>160.29145080000001</v>
      </c>
      <c r="L4" s="293">
        <v>0</v>
      </c>
      <c r="M4" s="341">
        <f>J4+K4</f>
        <v>1044.8114507999999</v>
      </c>
      <c r="N4" s="294">
        <f>C4*E4*12*$J$1*$N$1</f>
        <v>939.36023999999998</v>
      </c>
      <c r="O4" s="313">
        <f>(N4-12.702*$N$1*$J$1*12)*15.4%+(12.702*$N$1*$J$1*12)*30.4%</f>
        <v>170.2295207496</v>
      </c>
      <c r="P4" s="313">
        <v>0</v>
      </c>
      <c r="Q4" s="294">
        <f>O4+N4</f>
        <v>1109.5897607495999</v>
      </c>
      <c r="R4" s="295">
        <f>N4*$R$1</f>
        <v>1002.2973760799999</v>
      </c>
      <c r="S4" s="314">
        <f>(R4-12.702*$N$1*$R$1*$J$1*12)*15.4%+(12.702*$N$1*$R$1*$J$1*12)*30.4%</f>
        <v>181.63489863982318</v>
      </c>
      <c r="T4" s="314">
        <v>0</v>
      </c>
      <c r="U4" s="295">
        <f>R4+S4</f>
        <v>1183.932274719823</v>
      </c>
      <c r="V4" s="293">
        <f>R4*$R$1</f>
        <v>1069.4513002773599</v>
      </c>
      <c r="W4" s="293">
        <f>S4*$R$1</f>
        <v>193.80443684869132</v>
      </c>
      <c r="X4" s="293">
        <v>0</v>
      </c>
      <c r="Y4" s="293">
        <f>V4+W4</f>
        <v>1263.2557371260511</v>
      </c>
      <c r="Z4" s="313">
        <f>V4*$R$1</f>
        <v>1141.104537395943</v>
      </c>
      <c r="AA4" s="313">
        <f>W4*$R$1</f>
        <v>206.78933411755364</v>
      </c>
      <c r="AB4" s="313">
        <v>0</v>
      </c>
      <c r="AC4" s="313">
        <f>Z4+AA4</f>
        <v>1347.8938715134966</v>
      </c>
      <c r="AD4" s="314">
        <f>Z4*$R$1</f>
        <v>1217.5585414014711</v>
      </c>
      <c r="AE4" s="314">
        <f>AA4*$R$1</f>
        <v>220.64421950342972</v>
      </c>
      <c r="AF4" s="314">
        <v>0</v>
      </c>
      <c r="AG4" s="314">
        <f>AD4+AE4</f>
        <v>1438.2027609049007</v>
      </c>
      <c r="AH4" s="313">
        <f>AD4*$R$1</f>
        <v>1299.1349636753696</v>
      </c>
      <c r="AI4" s="313">
        <f>AE4*$R$1</f>
        <v>235.42738221015949</v>
      </c>
      <c r="AJ4" s="313">
        <v>0</v>
      </c>
      <c r="AK4" s="313">
        <f>AH4+AI4</f>
        <v>1534.5623458855291</v>
      </c>
      <c r="AL4" s="314">
        <f>AH4*$R$1</f>
        <v>1386.1770062416192</v>
      </c>
      <c r="AM4" s="314">
        <f>AI4*$R$1</f>
        <v>251.20101681824016</v>
      </c>
      <c r="AN4" s="314">
        <v>0</v>
      </c>
      <c r="AO4" s="314">
        <f>AL4+AM4</f>
        <v>1637.3780230598593</v>
      </c>
    </row>
    <row r="5" spans="1:41" ht="36" thickTop="1" thickBot="1">
      <c r="A5" s="297" t="s">
        <v>275</v>
      </c>
      <c r="B5" s="236">
        <v>12</v>
      </c>
      <c r="C5" s="257">
        <v>60</v>
      </c>
      <c r="D5" s="238">
        <v>1</v>
      </c>
      <c r="E5" s="237">
        <v>1</v>
      </c>
      <c r="F5" s="257">
        <f t="shared" ref="F5:F6" si="0">C5*E5*B5*D5</f>
        <v>720</v>
      </c>
      <c r="G5" s="286">
        <f t="shared" ref="G5:G6" si="1">(C5*E5*B5-12.702*E5*B5)*15.4%+(12.702*B5)*30.4%</f>
        <v>133.74360000000001</v>
      </c>
      <c r="H5" s="286">
        <v>0</v>
      </c>
      <c r="I5" s="287">
        <f t="shared" ref="I5:I6" si="2">F5+G5</f>
        <v>853.74360000000001</v>
      </c>
      <c r="J5" s="293">
        <f>C5*12*E5*$J$1</f>
        <v>758.16</v>
      </c>
      <c r="K5" s="293">
        <f t="shared" ref="K5:K6" si="3">(J5-12.702*$J$1*12)*15.4%+(12.702*$J$1*12)*30.4%</f>
        <v>140.83201079999998</v>
      </c>
      <c r="L5" s="293">
        <v>0</v>
      </c>
      <c r="M5" s="341">
        <f t="shared" ref="M5:M6" si="4">J5+K5</f>
        <v>898.99201079999989</v>
      </c>
      <c r="N5" s="294">
        <f>C5*E5*12*$J$1*$N$1</f>
        <v>805.16592000000003</v>
      </c>
      <c r="O5" s="313">
        <f t="shared" ref="O5:O6" si="5">(N5-12.702*$N$1*$J$1*12)*15.4%+(12.702*$N$1*$J$1*12)*30.4%</f>
        <v>149.56359546959999</v>
      </c>
      <c r="P5" s="294">
        <v>0</v>
      </c>
      <c r="Q5" s="294">
        <f t="shared" ref="Q5" si="6">O5+N5</f>
        <v>954.72951546960007</v>
      </c>
      <c r="R5" s="295">
        <f t="shared" ref="R5:R6" si="7">N5*$R$1</f>
        <v>859.11203664000004</v>
      </c>
      <c r="S5" s="314">
        <f t="shared" ref="S5:S6" si="8">(R5-12.702*$N$1*$R$1*$J$1*12)*15.4%+(12.702*$N$1*$R$1*$J$1*12)*30.4%</f>
        <v>159.58435636606322</v>
      </c>
      <c r="T5" s="295">
        <v>0</v>
      </c>
      <c r="U5" s="295">
        <f>R5+S5</f>
        <v>1018.6963930060633</v>
      </c>
      <c r="V5" s="293">
        <f t="shared" ref="V5:V7" si="9">R5*$R$1</f>
        <v>916.67254309487998</v>
      </c>
      <c r="W5" s="293">
        <f t="shared" ref="W5:W6" si="10">S5*$R$1</f>
        <v>170.27650824258944</v>
      </c>
      <c r="X5" s="293">
        <v>0</v>
      </c>
      <c r="Y5" s="293">
        <f>V5+W5</f>
        <v>1086.9490513374694</v>
      </c>
      <c r="Z5" s="313">
        <f t="shared" ref="Z5:Z6" si="11">V5*$R$1</f>
        <v>978.08960348223684</v>
      </c>
      <c r="AA5" s="313">
        <f t="shared" ref="AA5:AA6" si="12">W5*$R$1</f>
        <v>181.68503429484292</v>
      </c>
      <c r="AB5" s="313">
        <v>0</v>
      </c>
      <c r="AC5" s="313">
        <f>Z5+AA5</f>
        <v>1159.7746377770798</v>
      </c>
      <c r="AD5" s="314">
        <f t="shared" ref="AD5:AD6" si="13">Z5*$R$1</f>
        <v>1043.6216069155466</v>
      </c>
      <c r="AE5" s="314">
        <f t="shared" ref="AE5:AE6" si="14">AA5*$R$1</f>
        <v>193.8579315925974</v>
      </c>
      <c r="AF5" s="314">
        <v>0</v>
      </c>
      <c r="AG5" s="314">
        <f>AD5+AE5</f>
        <v>1237.4795385081441</v>
      </c>
      <c r="AH5" s="313">
        <f t="shared" ref="AH5:AH6" si="15">AD5*$R$1</f>
        <v>1113.5442545788883</v>
      </c>
      <c r="AI5" s="313">
        <f t="shared" ref="AI5:AI6" si="16">AE5*$R$1</f>
        <v>206.84641300930141</v>
      </c>
      <c r="AJ5" s="313">
        <v>0</v>
      </c>
      <c r="AK5" s="313">
        <f>AH5+AI5</f>
        <v>1320.3906675881897</v>
      </c>
      <c r="AL5" s="314">
        <f t="shared" ref="AL5:AL6" si="17">AH5*$R$1</f>
        <v>1188.1517196356738</v>
      </c>
      <c r="AM5" s="314">
        <f t="shared" ref="AM5:AM6" si="18">AI5*$R$1</f>
        <v>220.7051226809246</v>
      </c>
      <c r="AN5" s="314">
        <v>0</v>
      </c>
      <c r="AO5" s="314">
        <f>AL5+AM5</f>
        <v>1408.8568423165984</v>
      </c>
    </row>
    <row r="6" spans="1:41" ht="19" thickTop="1" thickBot="1">
      <c r="A6" s="298" t="s">
        <v>276</v>
      </c>
      <c r="B6" s="236">
        <v>12</v>
      </c>
      <c r="C6" s="257">
        <v>45</v>
      </c>
      <c r="D6" s="238">
        <v>1</v>
      </c>
      <c r="E6" s="237">
        <v>1</v>
      </c>
      <c r="F6" s="257">
        <f t="shared" si="0"/>
        <v>540</v>
      </c>
      <c r="G6" s="286">
        <f t="shared" si="1"/>
        <v>106.02360000000002</v>
      </c>
      <c r="H6" s="286">
        <v>0</v>
      </c>
      <c r="I6" s="287">
        <f t="shared" si="2"/>
        <v>646.02359999999999</v>
      </c>
      <c r="J6" s="293">
        <f>C6*12*E6*$J$1</f>
        <v>568.62</v>
      </c>
      <c r="K6" s="293">
        <f t="shared" si="3"/>
        <v>111.64285079999999</v>
      </c>
      <c r="L6" s="293">
        <v>0</v>
      </c>
      <c r="M6" s="341">
        <f t="shared" si="4"/>
        <v>680.26285080000002</v>
      </c>
      <c r="N6" s="294">
        <f t="shared" ref="N6" si="19">C6*E6*12*$J$1*$N$1</f>
        <v>603.87444000000005</v>
      </c>
      <c r="O6" s="313">
        <f t="shared" si="5"/>
        <v>118.5647075496</v>
      </c>
      <c r="P6" s="294">
        <v>0</v>
      </c>
      <c r="Q6" s="294">
        <f>O6+N6</f>
        <v>722.43914754960008</v>
      </c>
      <c r="R6" s="295">
        <f t="shared" si="7"/>
        <v>644.33402748000003</v>
      </c>
      <c r="S6" s="314">
        <f t="shared" si="8"/>
        <v>126.50854295542321</v>
      </c>
      <c r="T6" s="295">
        <v>0</v>
      </c>
      <c r="U6" s="295">
        <f>R6+S6</f>
        <v>770.84257043542323</v>
      </c>
      <c r="V6" s="293">
        <f t="shared" si="9"/>
        <v>687.50440732115999</v>
      </c>
      <c r="W6" s="293">
        <f t="shared" si="10"/>
        <v>134.98461533343655</v>
      </c>
      <c r="X6" s="293">
        <v>0</v>
      </c>
      <c r="Y6" s="293">
        <f t="shared" ref="Y6" si="20">V6+W6</f>
        <v>822.48902265459651</v>
      </c>
      <c r="Z6" s="313">
        <f t="shared" si="11"/>
        <v>733.56720261167766</v>
      </c>
      <c r="AA6" s="313">
        <f t="shared" si="12"/>
        <v>144.02858456077681</v>
      </c>
      <c r="AB6" s="313">
        <v>0</v>
      </c>
      <c r="AC6" s="313">
        <f t="shared" ref="AC6" si="21">Z6+AA6</f>
        <v>877.59578717245449</v>
      </c>
      <c r="AD6" s="314">
        <f t="shared" si="13"/>
        <v>782.71620518665998</v>
      </c>
      <c r="AE6" s="314">
        <f t="shared" si="14"/>
        <v>153.67849972634883</v>
      </c>
      <c r="AF6" s="314">
        <v>0</v>
      </c>
      <c r="AG6" s="314">
        <f t="shared" ref="AG6" si="22">AD6+AE6</f>
        <v>936.39470491300881</v>
      </c>
      <c r="AH6" s="313">
        <f t="shared" si="15"/>
        <v>835.1581909341661</v>
      </c>
      <c r="AI6" s="313">
        <f t="shared" si="16"/>
        <v>163.97495920801418</v>
      </c>
      <c r="AJ6" s="313">
        <v>0</v>
      </c>
      <c r="AK6" s="313">
        <f t="shared" ref="AK6" si="23">AH6+AI6</f>
        <v>999.13315014218028</v>
      </c>
      <c r="AL6" s="314">
        <f t="shared" si="17"/>
        <v>891.11378972675516</v>
      </c>
      <c r="AM6" s="314">
        <f t="shared" si="18"/>
        <v>174.96128147495114</v>
      </c>
      <c r="AN6" s="314">
        <v>0</v>
      </c>
      <c r="AO6" s="314">
        <f t="shared" ref="AO6" si="24">AL6+AM6</f>
        <v>1066.0750712017064</v>
      </c>
    </row>
    <row r="7" spans="1:41" ht="36" thickTop="1" thickBot="1">
      <c r="A7" s="298" t="s">
        <v>286</v>
      </c>
      <c r="B7" s="236">
        <v>1</v>
      </c>
      <c r="C7" s="257">
        <v>65</v>
      </c>
      <c r="D7" s="238">
        <v>1</v>
      </c>
      <c r="E7" s="237">
        <v>1</v>
      </c>
      <c r="F7" s="257">
        <f>C7*E7*B7*D7</f>
        <v>65</v>
      </c>
      <c r="G7" s="286">
        <v>0</v>
      </c>
      <c r="H7" s="286">
        <f>C7*B7*D7*E7*$K$1</f>
        <v>5.2</v>
      </c>
      <c r="I7" s="287">
        <f>F7+H7</f>
        <v>70.2</v>
      </c>
      <c r="J7" s="293">
        <f>C7*12*E7*$J$1</f>
        <v>821.33999999999992</v>
      </c>
      <c r="K7" s="293">
        <v>0</v>
      </c>
      <c r="L7" s="293">
        <f>J7*$K$1</f>
        <v>65.7072</v>
      </c>
      <c r="M7" s="341">
        <f>J7+L7</f>
        <v>887.04719999999998</v>
      </c>
      <c r="N7" s="294">
        <f>C7*E7*12*$J$1*$N$1</f>
        <v>872.26307999999995</v>
      </c>
      <c r="O7" s="294">
        <v>0</v>
      </c>
      <c r="P7" s="294">
        <f>N7*$K$1</f>
        <v>69.781046399999994</v>
      </c>
      <c r="Q7" s="294">
        <f>P7+N7</f>
        <v>942.04412639999998</v>
      </c>
      <c r="R7" s="295">
        <f>N7*$R$1</f>
        <v>930.70470635999993</v>
      </c>
      <c r="S7" s="295">
        <v>0</v>
      </c>
      <c r="T7" s="295">
        <f>R7*$K$1</f>
        <v>74.456376508799991</v>
      </c>
      <c r="U7" s="295">
        <f>R7+T7</f>
        <v>1005.1610828687999</v>
      </c>
      <c r="V7" s="293">
        <f t="shared" si="9"/>
        <v>993.06192168611983</v>
      </c>
      <c r="W7" s="293">
        <v>0</v>
      </c>
      <c r="X7" s="293">
        <f t="shared" ref="X7" si="25">V7*$K$1</f>
        <v>79.444953734889594</v>
      </c>
      <c r="Y7" s="293">
        <f>V7+X7</f>
        <v>1072.5068754210095</v>
      </c>
      <c r="Z7" s="313">
        <f>V7*$R$1</f>
        <v>1059.5970704390897</v>
      </c>
      <c r="AA7" s="313">
        <v>0</v>
      </c>
      <c r="AB7" s="313">
        <f t="shared" ref="AB7" si="26">Z7*$K$1</f>
        <v>84.767765635127176</v>
      </c>
      <c r="AC7" s="313">
        <f>Z7+AB7</f>
        <v>1144.364836074217</v>
      </c>
      <c r="AD7" s="314">
        <f>Z7*$R$1</f>
        <v>1130.5900741585087</v>
      </c>
      <c r="AE7" s="314">
        <v>0</v>
      </c>
      <c r="AF7" s="314">
        <f>AD7*$K$1</f>
        <v>90.447205932680703</v>
      </c>
      <c r="AG7" s="314">
        <f>AD7+AF7</f>
        <v>1221.0372800911894</v>
      </c>
      <c r="AH7" s="313">
        <f>AD7*$R$1</f>
        <v>1206.3396091271288</v>
      </c>
      <c r="AI7" s="313">
        <v>0</v>
      </c>
      <c r="AJ7" s="313">
        <f>AH7*$K$1</f>
        <v>96.507168730170307</v>
      </c>
      <c r="AK7" s="313">
        <f>AH7+AJ7</f>
        <v>1302.8467778572992</v>
      </c>
      <c r="AL7" s="314">
        <f>AH7*$R$1</f>
        <v>1287.1643629386465</v>
      </c>
      <c r="AM7" s="314">
        <v>0</v>
      </c>
      <c r="AN7" s="314">
        <f>AL7*$K$1</f>
        <v>102.97314903509172</v>
      </c>
      <c r="AO7" s="314">
        <f>AL7+AN7</f>
        <v>1390.1375119737381</v>
      </c>
    </row>
    <row r="8" spans="1:41" ht="18" thickTop="1">
      <c r="A8" s="197" t="s">
        <v>1</v>
      </c>
      <c r="B8" s="197"/>
      <c r="C8" s="197">
        <f>SUM(C4:C7)</f>
        <v>240</v>
      </c>
      <c r="D8" s="197">
        <f>SUM(D4:D7)</f>
        <v>4</v>
      </c>
      <c r="E8" s="197">
        <f>SUM(E4:E7)</f>
        <v>4</v>
      </c>
      <c r="F8" s="258">
        <f>SUM(F4:F7)</f>
        <v>2165</v>
      </c>
      <c r="G8" s="258">
        <f t="shared" ref="G8:AO8" si="27">SUM(G4:G7)</f>
        <v>391.99080000000004</v>
      </c>
      <c r="H8" s="258">
        <f t="shared" si="27"/>
        <v>5.2</v>
      </c>
      <c r="I8" s="258">
        <f t="shared" si="27"/>
        <v>2562.1907999999999</v>
      </c>
      <c r="J8" s="258">
        <f t="shared" si="27"/>
        <v>3032.6399999999994</v>
      </c>
      <c r="K8" s="258">
        <f t="shared" si="27"/>
        <v>412.76631239999995</v>
      </c>
      <c r="L8" s="258">
        <f t="shared" si="27"/>
        <v>65.7072</v>
      </c>
      <c r="M8" s="258">
        <f t="shared" si="27"/>
        <v>3511.1135123999998</v>
      </c>
      <c r="N8" s="258">
        <f t="shared" si="27"/>
        <v>3220.6636799999997</v>
      </c>
      <c r="O8" s="258">
        <f t="shared" si="27"/>
        <v>438.35782376880002</v>
      </c>
      <c r="P8" s="258">
        <f t="shared" si="27"/>
        <v>69.781046399999994</v>
      </c>
      <c r="Q8" s="258">
        <f t="shared" si="27"/>
        <v>3728.8025501688003</v>
      </c>
      <c r="R8" s="258">
        <f t="shared" si="27"/>
        <v>3436.4481465599997</v>
      </c>
      <c r="S8" s="258">
        <f t="shared" si="27"/>
        <v>467.72779796130959</v>
      </c>
      <c r="T8" s="258">
        <f t="shared" si="27"/>
        <v>74.456376508799991</v>
      </c>
      <c r="U8" s="258">
        <f t="shared" si="27"/>
        <v>3978.6323210301093</v>
      </c>
      <c r="V8" s="258">
        <f t="shared" si="27"/>
        <v>3666.6901723795199</v>
      </c>
      <c r="W8" s="258">
        <f t="shared" si="27"/>
        <v>499.06556042471732</v>
      </c>
      <c r="X8" s="258">
        <f t="shared" si="27"/>
        <v>79.444953734889594</v>
      </c>
      <c r="Y8" s="258">
        <f t="shared" si="27"/>
        <v>4245.2006865391268</v>
      </c>
      <c r="Z8" s="258">
        <f t="shared" si="27"/>
        <v>3912.3584139289474</v>
      </c>
      <c r="AA8" s="258">
        <f t="shared" si="27"/>
        <v>532.50295297317336</v>
      </c>
      <c r="AB8" s="258">
        <f t="shared" si="27"/>
        <v>84.767765635127176</v>
      </c>
      <c r="AC8" s="258">
        <f t="shared" si="27"/>
        <v>4529.6291325372476</v>
      </c>
      <c r="AD8" s="258">
        <f t="shared" si="27"/>
        <v>4174.4864276621865</v>
      </c>
      <c r="AE8" s="258">
        <f t="shared" si="27"/>
        <v>568.18065082237592</v>
      </c>
      <c r="AF8" s="258">
        <f t="shared" si="27"/>
        <v>90.447205932680703</v>
      </c>
      <c r="AG8" s="258">
        <f t="shared" si="27"/>
        <v>4833.1142844172427</v>
      </c>
      <c r="AH8" s="258">
        <f t="shared" si="27"/>
        <v>4454.1770183155531</v>
      </c>
      <c r="AI8" s="258">
        <f t="shared" si="27"/>
        <v>606.24875442747509</v>
      </c>
      <c r="AJ8" s="258">
        <f t="shared" si="27"/>
        <v>96.507168730170307</v>
      </c>
      <c r="AK8" s="258">
        <f t="shared" si="27"/>
        <v>5156.9329414731983</v>
      </c>
      <c r="AL8" s="258">
        <f t="shared" si="27"/>
        <v>4752.6068785426942</v>
      </c>
      <c r="AM8" s="258">
        <f t="shared" si="27"/>
        <v>646.86742097411593</v>
      </c>
      <c r="AN8" s="258">
        <f t="shared" si="27"/>
        <v>102.97314903509172</v>
      </c>
      <c r="AO8" s="258">
        <f t="shared" si="27"/>
        <v>5502.4474485519022</v>
      </c>
    </row>
    <row r="9" spans="1:41" ht="17">
      <c r="A9" s="197" t="s">
        <v>277</v>
      </c>
      <c r="B9" s="197"/>
      <c r="C9" s="197"/>
      <c r="D9" s="197"/>
      <c r="E9" s="197"/>
      <c r="F9" s="258"/>
      <c r="G9" s="287"/>
      <c r="H9" s="287"/>
      <c r="I9" s="211"/>
      <c r="J9" s="206"/>
      <c r="K9" s="206"/>
      <c r="L9" s="206"/>
      <c r="M9" s="206"/>
      <c r="N9" s="208"/>
      <c r="O9" s="208"/>
      <c r="P9" s="208"/>
      <c r="Q9" s="208"/>
      <c r="R9" s="207"/>
      <c r="S9" s="207"/>
      <c r="T9" s="207"/>
      <c r="U9" s="205"/>
      <c r="V9" s="206"/>
      <c r="W9" s="206"/>
      <c r="X9" s="206"/>
      <c r="Y9" s="206"/>
      <c r="Z9" s="208"/>
      <c r="AA9" s="208"/>
      <c r="AB9" s="208"/>
      <c r="AC9" s="208"/>
      <c r="AD9" s="207"/>
      <c r="AE9" s="207"/>
      <c r="AF9" s="207"/>
      <c r="AG9" s="205"/>
      <c r="AH9" s="208"/>
      <c r="AI9" s="208"/>
      <c r="AJ9" s="208"/>
      <c r="AK9" s="208"/>
      <c r="AL9" s="207"/>
      <c r="AM9" s="207"/>
      <c r="AN9" s="207"/>
      <c r="AO9" s="205"/>
    </row>
    <row r="10" spans="1:41" ht="52" thickBot="1">
      <c r="A10" s="338" t="s">
        <v>278</v>
      </c>
      <c r="B10" s="239">
        <v>1</v>
      </c>
      <c r="C10" s="284">
        <v>45</v>
      </c>
      <c r="D10" s="237">
        <v>1</v>
      </c>
      <c r="E10" s="237">
        <v>10</v>
      </c>
      <c r="F10" s="257">
        <f t="shared" ref="F10:F17" si="28">C10*E10*B10*D10</f>
        <v>450</v>
      </c>
      <c r="G10" s="286">
        <v>0</v>
      </c>
      <c r="H10" s="286">
        <f>C10*B10*D10*E10*$K$1</f>
        <v>36</v>
      </c>
      <c r="I10" s="287">
        <f>F10+H10</f>
        <v>486</v>
      </c>
      <c r="J10" s="290">
        <f>C10*12*E10*$J$1</f>
        <v>5686.2</v>
      </c>
      <c r="K10" s="290">
        <v>0</v>
      </c>
      <c r="L10" s="293">
        <f>J10*$K$1</f>
        <v>454.89600000000002</v>
      </c>
      <c r="M10" s="341">
        <f>J10+L10</f>
        <v>6141.0959999999995</v>
      </c>
      <c r="N10" s="291">
        <f>C10*E10*12*$J$1*$N$1</f>
        <v>6038.7444000000005</v>
      </c>
      <c r="O10" s="291">
        <v>0</v>
      </c>
      <c r="P10" s="294">
        <f>N10*$K$1</f>
        <v>483.09955200000007</v>
      </c>
      <c r="Q10" s="291">
        <f>P10+N10</f>
        <v>6521.8439520000002</v>
      </c>
      <c r="R10" s="292">
        <f t="shared" ref="R10" si="29">N10*$R$1</f>
        <v>6443.3402747999999</v>
      </c>
      <c r="S10" s="292">
        <v>0</v>
      </c>
      <c r="T10" s="295">
        <f>R10*$K$1</f>
        <v>515.46722198400005</v>
      </c>
      <c r="U10" s="295">
        <f>R10+T10</f>
        <v>6958.8074967840003</v>
      </c>
      <c r="V10" s="293">
        <f t="shared" ref="V10:V17" si="30">R10*$R$1</f>
        <v>6875.0440732115994</v>
      </c>
      <c r="W10" s="290">
        <v>0</v>
      </c>
      <c r="X10" s="293">
        <f t="shared" ref="X10:X17" si="31">V10*$K$1</f>
        <v>550.00352585692792</v>
      </c>
      <c r="Y10" s="290">
        <f>V10+X10</f>
        <v>7425.0475990685272</v>
      </c>
      <c r="Z10" s="313">
        <f>V10*$R$1</f>
        <v>7335.6720261167766</v>
      </c>
      <c r="AA10" s="313">
        <v>0</v>
      </c>
      <c r="AB10" s="313">
        <f t="shared" ref="AB10:AB17" si="32">Z10*$K$1</f>
        <v>586.85376208934213</v>
      </c>
      <c r="AC10" s="313">
        <f>Z10+AB10</f>
        <v>7922.5257882061187</v>
      </c>
      <c r="AD10" s="314">
        <f>Z10*$R$1</f>
        <v>7827.1620518666005</v>
      </c>
      <c r="AE10" s="314">
        <v>0</v>
      </c>
      <c r="AF10" s="314">
        <f t="shared" ref="AF10:AF12" si="33">AD10*$K$1</f>
        <v>626.1729641493281</v>
      </c>
      <c r="AG10" s="314">
        <f>AD10+AF10</f>
        <v>8453.335016015928</v>
      </c>
      <c r="AH10" s="313">
        <f>AD10*$R$1</f>
        <v>8351.581909341663</v>
      </c>
      <c r="AI10" s="313">
        <v>0</v>
      </c>
      <c r="AJ10" s="313">
        <f t="shared" ref="AJ10:AJ12" si="34">AH10*$K$1</f>
        <v>668.12655274733311</v>
      </c>
      <c r="AK10" s="313">
        <f>AH10+AJ10</f>
        <v>9019.7084620889964</v>
      </c>
      <c r="AL10" s="314">
        <f>AH10*$R$1</f>
        <v>8911.1378972675539</v>
      </c>
      <c r="AM10" s="314">
        <v>0</v>
      </c>
      <c r="AN10" s="314">
        <f t="shared" ref="AN10:AN12" si="35">AL10*$K$1</f>
        <v>712.89103178140431</v>
      </c>
      <c r="AO10" s="314">
        <f>AL10+AN10</f>
        <v>9624.0289290489582</v>
      </c>
    </row>
    <row r="11" spans="1:41" ht="53" thickTop="1" thickBot="1">
      <c r="A11" s="338" t="s">
        <v>279</v>
      </c>
      <c r="B11" s="239">
        <v>1</v>
      </c>
      <c r="C11" s="284">
        <v>45</v>
      </c>
      <c r="D11" s="237">
        <v>1</v>
      </c>
      <c r="E11" s="237">
        <v>1</v>
      </c>
      <c r="F11" s="257">
        <f t="shared" si="28"/>
        <v>45</v>
      </c>
      <c r="G11" s="286">
        <v>0</v>
      </c>
      <c r="H11" s="286">
        <f t="shared" ref="H11:H17" si="36">C11*B11*D11*E11*$K$1</f>
        <v>3.6</v>
      </c>
      <c r="I11" s="287">
        <f t="shared" ref="I11:I17" si="37">F11+H11</f>
        <v>48.6</v>
      </c>
      <c r="J11" s="290">
        <f t="shared" ref="J11:J17" si="38">C11*12*E11*$J$1</f>
        <v>568.62</v>
      </c>
      <c r="K11" s="290">
        <v>0</v>
      </c>
      <c r="L11" s="293">
        <f t="shared" ref="L11:L17" si="39">J11*$K$1</f>
        <v>45.489600000000003</v>
      </c>
      <c r="M11" s="341">
        <f t="shared" ref="M11:M16" si="40">J11+L11</f>
        <v>614.1096</v>
      </c>
      <c r="N11" s="291">
        <f t="shared" ref="N11:N16" si="41">C11*E11*12*$J$1*$N$1</f>
        <v>603.87444000000005</v>
      </c>
      <c r="O11" s="291">
        <v>0</v>
      </c>
      <c r="P11" s="294">
        <f t="shared" ref="P11:P17" si="42">N11*$K$1</f>
        <v>48.309955200000005</v>
      </c>
      <c r="Q11" s="291">
        <f t="shared" ref="Q11:Q17" si="43">P11+N11</f>
        <v>652.18439520000004</v>
      </c>
      <c r="R11" s="292">
        <f t="shared" ref="R11:R17" si="44">N11*$R$1</f>
        <v>644.33402748000003</v>
      </c>
      <c r="S11" s="292">
        <v>0</v>
      </c>
      <c r="T11" s="295">
        <f t="shared" ref="T11:T16" si="45">R11*$K$1</f>
        <v>51.546722198400005</v>
      </c>
      <c r="U11" s="295">
        <f t="shared" ref="U11:U17" si="46">R11+T11</f>
        <v>695.88074967839998</v>
      </c>
      <c r="V11" s="293">
        <f t="shared" si="30"/>
        <v>687.50440732115999</v>
      </c>
      <c r="W11" s="290">
        <v>0</v>
      </c>
      <c r="X11" s="293">
        <f t="shared" si="31"/>
        <v>55.000352585692802</v>
      </c>
      <c r="Y11" s="290">
        <f t="shared" ref="Y11:Y16" si="47">V11+X11</f>
        <v>742.50475990685277</v>
      </c>
      <c r="Z11" s="313">
        <f t="shared" ref="Z11:Z17" si="48">V11*$R$1</f>
        <v>733.56720261167766</v>
      </c>
      <c r="AA11" s="313">
        <v>0</v>
      </c>
      <c r="AB11" s="313">
        <f t="shared" si="32"/>
        <v>58.685376208934215</v>
      </c>
      <c r="AC11" s="313">
        <f t="shared" ref="AC11:AC16" si="49">Z11+AB11</f>
        <v>792.25257882061192</v>
      </c>
      <c r="AD11" s="314">
        <f t="shared" ref="AD11:AD12" si="50">Z11*$R$1</f>
        <v>782.71620518665998</v>
      </c>
      <c r="AE11" s="314">
        <v>0</v>
      </c>
      <c r="AF11" s="314">
        <f t="shared" si="33"/>
        <v>62.617296414932802</v>
      </c>
      <c r="AG11" s="314">
        <f t="shared" ref="AG11:AG16" si="51">AD11+AF11</f>
        <v>845.33350160159273</v>
      </c>
      <c r="AH11" s="313">
        <f t="shared" ref="AH11:AH12" si="52">AD11*$R$1</f>
        <v>835.1581909341661</v>
      </c>
      <c r="AI11" s="313">
        <v>0</v>
      </c>
      <c r="AJ11" s="313">
        <f t="shared" si="34"/>
        <v>66.812655274733288</v>
      </c>
      <c r="AK11" s="313">
        <f t="shared" ref="AK11:AK16" si="53">AH11+AJ11</f>
        <v>901.97084620889939</v>
      </c>
      <c r="AL11" s="314">
        <f t="shared" ref="AL11:AL12" si="54">AH11*$R$1</f>
        <v>891.11378972675516</v>
      </c>
      <c r="AM11" s="314">
        <v>0</v>
      </c>
      <c r="AN11" s="314">
        <f t="shared" si="35"/>
        <v>71.289103178140408</v>
      </c>
      <c r="AO11" s="314">
        <f t="shared" ref="AO11:AO16" si="55">AL11+AN11</f>
        <v>962.40289290489557</v>
      </c>
    </row>
    <row r="12" spans="1:41" ht="19" thickTop="1" thickBot="1">
      <c r="A12" s="338" t="s">
        <v>280</v>
      </c>
      <c r="B12" s="239">
        <v>1</v>
      </c>
      <c r="C12" s="284">
        <v>30</v>
      </c>
      <c r="D12" s="237">
        <v>1</v>
      </c>
      <c r="E12" s="237">
        <v>1</v>
      </c>
      <c r="F12" s="257">
        <f t="shared" si="28"/>
        <v>30</v>
      </c>
      <c r="G12" s="286">
        <v>0</v>
      </c>
      <c r="H12" s="286">
        <f t="shared" si="36"/>
        <v>2.4</v>
      </c>
      <c r="I12" s="287">
        <f t="shared" si="37"/>
        <v>32.4</v>
      </c>
      <c r="J12" s="290">
        <f>C12*12*E12*$J$1</f>
        <v>379.08</v>
      </c>
      <c r="K12" s="290">
        <v>0</v>
      </c>
      <c r="L12" s="293">
        <f t="shared" si="39"/>
        <v>30.3264</v>
      </c>
      <c r="M12" s="341">
        <f t="shared" si="40"/>
        <v>409.40639999999996</v>
      </c>
      <c r="N12" s="291">
        <f t="shared" si="41"/>
        <v>402.58296000000001</v>
      </c>
      <c r="O12" s="291">
        <v>0</v>
      </c>
      <c r="P12" s="294">
        <f t="shared" si="42"/>
        <v>32.206636799999998</v>
      </c>
      <c r="Q12" s="291">
        <f t="shared" si="43"/>
        <v>434.78959680000003</v>
      </c>
      <c r="R12" s="292">
        <f t="shared" si="44"/>
        <v>429.55601832000002</v>
      </c>
      <c r="S12" s="292">
        <v>0</v>
      </c>
      <c r="T12" s="295">
        <f t="shared" si="45"/>
        <v>34.364481465600001</v>
      </c>
      <c r="U12" s="295">
        <f t="shared" si="46"/>
        <v>463.92049978560004</v>
      </c>
      <c r="V12" s="293">
        <f t="shared" si="30"/>
        <v>458.33627154743999</v>
      </c>
      <c r="W12" s="290">
        <v>0</v>
      </c>
      <c r="X12" s="293">
        <f t="shared" si="31"/>
        <v>36.666901723795199</v>
      </c>
      <c r="Y12" s="290">
        <f t="shared" si="47"/>
        <v>495.0031732712352</v>
      </c>
      <c r="Z12" s="313">
        <f t="shared" si="48"/>
        <v>489.04480174111842</v>
      </c>
      <c r="AA12" s="313">
        <v>0</v>
      </c>
      <c r="AB12" s="313">
        <f t="shared" si="32"/>
        <v>39.123584139289477</v>
      </c>
      <c r="AC12" s="313">
        <f t="shared" si="49"/>
        <v>528.16838588040787</v>
      </c>
      <c r="AD12" s="314">
        <f t="shared" si="50"/>
        <v>521.81080345777332</v>
      </c>
      <c r="AE12" s="314">
        <v>0</v>
      </c>
      <c r="AF12" s="314">
        <f t="shared" si="33"/>
        <v>41.744864276621868</v>
      </c>
      <c r="AG12" s="314">
        <f t="shared" si="51"/>
        <v>563.55566773439523</v>
      </c>
      <c r="AH12" s="313">
        <f t="shared" si="52"/>
        <v>556.77212728944414</v>
      </c>
      <c r="AI12" s="313">
        <v>0</v>
      </c>
      <c r="AJ12" s="313">
        <f t="shared" si="34"/>
        <v>44.541770183155535</v>
      </c>
      <c r="AK12" s="313">
        <f t="shared" si="53"/>
        <v>601.31389747259971</v>
      </c>
      <c r="AL12" s="314">
        <f t="shared" si="54"/>
        <v>594.07585981783689</v>
      </c>
      <c r="AM12" s="314">
        <v>0</v>
      </c>
      <c r="AN12" s="314">
        <f t="shared" si="35"/>
        <v>47.526068785426951</v>
      </c>
      <c r="AO12" s="314">
        <f t="shared" si="55"/>
        <v>641.60192860326379</v>
      </c>
    </row>
    <row r="13" spans="1:41" ht="36" thickTop="1" thickBot="1">
      <c r="A13" s="338" t="s">
        <v>281</v>
      </c>
      <c r="B13" s="239">
        <v>1</v>
      </c>
      <c r="C13" s="284">
        <v>55</v>
      </c>
      <c r="D13" s="237">
        <v>1</v>
      </c>
      <c r="E13" s="237">
        <v>1</v>
      </c>
      <c r="F13" s="257">
        <f t="shared" si="28"/>
        <v>55</v>
      </c>
      <c r="G13" s="286">
        <v>0</v>
      </c>
      <c r="H13" s="286">
        <f t="shared" si="36"/>
        <v>4.4000000000000004</v>
      </c>
      <c r="I13" s="287">
        <f t="shared" si="37"/>
        <v>59.4</v>
      </c>
      <c r="J13" s="290">
        <f t="shared" si="38"/>
        <v>694.9799999999999</v>
      </c>
      <c r="K13" s="290">
        <v>0</v>
      </c>
      <c r="L13" s="293">
        <f t="shared" si="39"/>
        <v>55.598399999999991</v>
      </c>
      <c r="M13" s="341">
        <f t="shared" si="40"/>
        <v>750.57839999999987</v>
      </c>
      <c r="N13" s="291">
        <f t="shared" si="41"/>
        <v>738.06875999999988</v>
      </c>
      <c r="O13" s="291">
        <v>0</v>
      </c>
      <c r="P13" s="294">
        <f t="shared" si="42"/>
        <v>59.045500799999992</v>
      </c>
      <c r="Q13" s="291">
        <f t="shared" si="43"/>
        <v>797.1142607999999</v>
      </c>
      <c r="R13" s="292">
        <f t="shared" si="44"/>
        <v>787.51936691999981</v>
      </c>
      <c r="S13" s="292">
        <v>0</v>
      </c>
      <c r="T13" s="295">
        <f t="shared" si="45"/>
        <v>63.001549353599984</v>
      </c>
      <c r="U13" s="295">
        <f t="shared" si="46"/>
        <v>850.52091627359982</v>
      </c>
      <c r="V13" s="293">
        <f t="shared" si="30"/>
        <v>840.2831645036398</v>
      </c>
      <c r="W13" s="290">
        <v>0</v>
      </c>
      <c r="X13" s="293">
        <f t="shared" si="31"/>
        <v>67.222653160291188</v>
      </c>
      <c r="Y13" s="290">
        <f t="shared" si="47"/>
        <v>907.505817663931</v>
      </c>
      <c r="Z13" s="313">
        <f>V13*$R$1</f>
        <v>896.58213652538359</v>
      </c>
      <c r="AA13" s="313">
        <v>0</v>
      </c>
      <c r="AB13" s="313">
        <f>Z13*$K$1</f>
        <v>71.726570922030689</v>
      </c>
      <c r="AC13" s="313">
        <f t="shared" si="49"/>
        <v>968.30870744741424</v>
      </c>
      <c r="AD13" s="314">
        <f>Z13*$R$1</f>
        <v>956.65313967258419</v>
      </c>
      <c r="AE13" s="314">
        <v>0</v>
      </c>
      <c r="AF13" s="314">
        <f>AD13*$K$1</f>
        <v>76.532251173806742</v>
      </c>
      <c r="AG13" s="314">
        <f t="shared" si="51"/>
        <v>1033.1853908463909</v>
      </c>
      <c r="AH13" s="313">
        <f>AD13*$R$1</f>
        <v>1020.7489000306473</v>
      </c>
      <c r="AI13" s="313">
        <v>0</v>
      </c>
      <c r="AJ13" s="313">
        <f>AH13*$K$1</f>
        <v>81.65991200245179</v>
      </c>
      <c r="AK13" s="313">
        <f t="shared" si="53"/>
        <v>1102.4088120330991</v>
      </c>
      <c r="AL13" s="314">
        <f>AH13*$R$1</f>
        <v>1089.1390763327006</v>
      </c>
      <c r="AM13" s="314">
        <v>0</v>
      </c>
      <c r="AN13" s="314">
        <f>AL13*$K$1</f>
        <v>87.131126106616051</v>
      </c>
      <c r="AO13" s="314">
        <f t="shared" si="55"/>
        <v>1176.2702024393166</v>
      </c>
    </row>
    <row r="14" spans="1:41" ht="19" thickTop="1" thickBot="1">
      <c r="A14" s="338" t="s">
        <v>282</v>
      </c>
      <c r="B14" s="239">
        <v>1</v>
      </c>
      <c r="C14" s="284">
        <v>35</v>
      </c>
      <c r="D14" s="238">
        <v>1</v>
      </c>
      <c r="E14" s="237">
        <v>1</v>
      </c>
      <c r="F14" s="257">
        <f t="shared" si="28"/>
        <v>35</v>
      </c>
      <c r="G14" s="286">
        <v>0</v>
      </c>
      <c r="H14" s="286">
        <f t="shared" si="36"/>
        <v>2.8000000000000003</v>
      </c>
      <c r="I14" s="287">
        <f t="shared" si="37"/>
        <v>37.799999999999997</v>
      </c>
      <c r="J14" s="290">
        <f t="shared" si="38"/>
        <v>442.26</v>
      </c>
      <c r="K14" s="290">
        <v>0</v>
      </c>
      <c r="L14" s="293">
        <f t="shared" si="39"/>
        <v>35.380800000000001</v>
      </c>
      <c r="M14" s="341">
        <f t="shared" si="40"/>
        <v>477.64080000000001</v>
      </c>
      <c r="N14" s="291">
        <f>C14*E14*12*$J$1*$N$1</f>
        <v>469.68011999999999</v>
      </c>
      <c r="O14" s="291">
        <v>0</v>
      </c>
      <c r="P14" s="294">
        <f t="shared" si="42"/>
        <v>37.574409600000003</v>
      </c>
      <c r="Q14" s="291">
        <f t="shared" si="43"/>
        <v>507.25452960000001</v>
      </c>
      <c r="R14" s="292">
        <f t="shared" si="44"/>
        <v>501.14868803999997</v>
      </c>
      <c r="S14" s="292">
        <v>0</v>
      </c>
      <c r="T14" s="295">
        <f t="shared" si="45"/>
        <v>40.091895043199997</v>
      </c>
      <c r="U14" s="295">
        <f t="shared" si="46"/>
        <v>541.24058308319991</v>
      </c>
      <c r="V14" s="293">
        <f t="shared" si="30"/>
        <v>534.72565013867995</v>
      </c>
      <c r="W14" s="290">
        <v>0</v>
      </c>
      <c r="X14" s="293">
        <f t="shared" si="31"/>
        <v>42.778052011094395</v>
      </c>
      <c r="Y14" s="290">
        <f t="shared" si="47"/>
        <v>577.50370214977431</v>
      </c>
      <c r="Z14" s="313">
        <f t="shared" si="48"/>
        <v>570.5522686979715</v>
      </c>
      <c r="AA14" s="313">
        <v>0</v>
      </c>
      <c r="AB14" s="313">
        <f t="shared" si="32"/>
        <v>45.644181495837721</v>
      </c>
      <c r="AC14" s="313">
        <f t="shared" si="49"/>
        <v>616.19645019380926</v>
      </c>
      <c r="AD14" s="314">
        <f t="shared" ref="AD14:AD17" si="56">Z14*$R$1</f>
        <v>608.77927070073554</v>
      </c>
      <c r="AE14" s="314">
        <v>0</v>
      </c>
      <c r="AF14" s="314">
        <f t="shared" ref="AF14:AF17" si="57">AD14*$K$1</f>
        <v>48.702341656058842</v>
      </c>
      <c r="AG14" s="314">
        <f t="shared" si="51"/>
        <v>657.48161235679436</v>
      </c>
      <c r="AH14" s="313">
        <f t="shared" ref="AH14:AH17" si="58">AD14*$R$1</f>
        <v>649.5674818376848</v>
      </c>
      <c r="AI14" s="313">
        <v>0</v>
      </c>
      <c r="AJ14" s="313">
        <f t="shared" ref="AJ14:AJ17" si="59">AH14*$K$1</f>
        <v>51.965398547014786</v>
      </c>
      <c r="AK14" s="313">
        <f t="shared" si="53"/>
        <v>701.53288038469964</v>
      </c>
      <c r="AL14" s="314">
        <f t="shared" ref="AL14:AL17" si="60">AH14*$R$1</f>
        <v>693.08850312080961</v>
      </c>
      <c r="AM14" s="314">
        <v>0</v>
      </c>
      <c r="AN14" s="314">
        <f t="shared" ref="AN14:AN17" si="61">AL14*$K$1</f>
        <v>55.447080249664772</v>
      </c>
      <c r="AO14" s="314">
        <f t="shared" si="55"/>
        <v>748.53558337047434</v>
      </c>
    </row>
    <row r="15" spans="1:41" ht="18" thickTop="1" thickBot="1">
      <c r="A15" s="339" t="s">
        <v>283</v>
      </c>
      <c r="B15" s="239">
        <v>1</v>
      </c>
      <c r="C15" s="285">
        <v>55</v>
      </c>
      <c r="D15" s="237">
        <v>1</v>
      </c>
      <c r="E15" s="237">
        <v>1</v>
      </c>
      <c r="F15" s="257">
        <f t="shared" si="28"/>
        <v>55</v>
      </c>
      <c r="G15" s="286">
        <v>0</v>
      </c>
      <c r="H15" s="286">
        <f t="shared" si="36"/>
        <v>4.4000000000000004</v>
      </c>
      <c r="I15" s="287">
        <f t="shared" si="37"/>
        <v>59.4</v>
      </c>
      <c r="J15" s="290">
        <f t="shared" si="38"/>
        <v>694.9799999999999</v>
      </c>
      <c r="K15" s="290">
        <v>0</v>
      </c>
      <c r="L15" s="293">
        <f t="shared" si="39"/>
        <v>55.598399999999991</v>
      </c>
      <c r="M15" s="341">
        <f t="shared" si="40"/>
        <v>750.57839999999987</v>
      </c>
      <c r="N15" s="291">
        <f t="shared" si="41"/>
        <v>738.06875999999988</v>
      </c>
      <c r="O15" s="291">
        <v>0</v>
      </c>
      <c r="P15" s="294">
        <f t="shared" si="42"/>
        <v>59.045500799999992</v>
      </c>
      <c r="Q15" s="291">
        <f t="shared" si="43"/>
        <v>797.1142607999999</v>
      </c>
      <c r="R15" s="292">
        <f t="shared" si="44"/>
        <v>787.51936691999981</v>
      </c>
      <c r="S15" s="292">
        <v>0</v>
      </c>
      <c r="T15" s="295">
        <f t="shared" si="45"/>
        <v>63.001549353599984</v>
      </c>
      <c r="U15" s="295">
        <f t="shared" si="46"/>
        <v>850.52091627359982</v>
      </c>
      <c r="V15" s="293">
        <f t="shared" si="30"/>
        <v>840.2831645036398</v>
      </c>
      <c r="W15" s="290">
        <v>0</v>
      </c>
      <c r="X15" s="293">
        <f t="shared" si="31"/>
        <v>67.222653160291188</v>
      </c>
      <c r="Y15" s="290">
        <f t="shared" si="47"/>
        <v>907.505817663931</v>
      </c>
      <c r="Z15" s="313">
        <f t="shared" si="48"/>
        <v>896.58213652538359</v>
      </c>
      <c r="AA15" s="313">
        <v>0</v>
      </c>
      <c r="AB15" s="313">
        <f t="shared" si="32"/>
        <v>71.726570922030689</v>
      </c>
      <c r="AC15" s="313">
        <f t="shared" si="49"/>
        <v>968.30870744741424</v>
      </c>
      <c r="AD15" s="314">
        <f t="shared" si="56"/>
        <v>956.65313967258419</v>
      </c>
      <c r="AE15" s="314">
        <v>0</v>
      </c>
      <c r="AF15" s="314">
        <f t="shared" si="57"/>
        <v>76.532251173806742</v>
      </c>
      <c r="AG15" s="314">
        <f t="shared" si="51"/>
        <v>1033.1853908463909</v>
      </c>
      <c r="AH15" s="313">
        <f t="shared" si="58"/>
        <v>1020.7489000306473</v>
      </c>
      <c r="AI15" s="313">
        <v>0</v>
      </c>
      <c r="AJ15" s="313">
        <f t="shared" si="59"/>
        <v>81.65991200245179</v>
      </c>
      <c r="AK15" s="313">
        <f t="shared" si="53"/>
        <v>1102.4088120330991</v>
      </c>
      <c r="AL15" s="314">
        <f t="shared" si="60"/>
        <v>1089.1390763327006</v>
      </c>
      <c r="AM15" s="314">
        <v>0</v>
      </c>
      <c r="AN15" s="314">
        <f t="shared" si="61"/>
        <v>87.131126106616051</v>
      </c>
      <c r="AO15" s="314">
        <f t="shared" si="55"/>
        <v>1176.2702024393166</v>
      </c>
    </row>
    <row r="16" spans="1:41" ht="17" thickBot="1">
      <c r="A16" s="339" t="s">
        <v>284</v>
      </c>
      <c r="B16" s="239">
        <v>1</v>
      </c>
      <c r="C16" s="285">
        <v>35</v>
      </c>
      <c r="D16" s="237">
        <v>1</v>
      </c>
      <c r="E16" s="237">
        <v>5</v>
      </c>
      <c r="F16" s="257">
        <f t="shared" si="28"/>
        <v>175</v>
      </c>
      <c r="G16" s="286">
        <v>0</v>
      </c>
      <c r="H16" s="286">
        <f t="shared" si="36"/>
        <v>14</v>
      </c>
      <c r="I16" s="287">
        <f t="shared" si="37"/>
        <v>189</v>
      </c>
      <c r="J16" s="290">
        <f t="shared" si="38"/>
        <v>2211.2999999999997</v>
      </c>
      <c r="K16" s="290">
        <v>0</v>
      </c>
      <c r="L16" s="293">
        <f t="shared" si="39"/>
        <v>176.90399999999997</v>
      </c>
      <c r="M16" s="341">
        <f t="shared" si="40"/>
        <v>2388.2039999999997</v>
      </c>
      <c r="N16" s="291">
        <f t="shared" si="41"/>
        <v>2348.4005999999999</v>
      </c>
      <c r="O16" s="291">
        <v>0</v>
      </c>
      <c r="P16" s="294">
        <f t="shared" si="42"/>
        <v>187.87204800000001</v>
      </c>
      <c r="Q16" s="291">
        <f t="shared" si="43"/>
        <v>2536.2726480000001</v>
      </c>
      <c r="R16" s="292">
        <f t="shared" si="44"/>
        <v>2505.7434401999999</v>
      </c>
      <c r="S16" s="292">
        <v>0</v>
      </c>
      <c r="T16" s="295">
        <f t="shared" si="45"/>
        <v>200.45947521599999</v>
      </c>
      <c r="U16" s="295">
        <f t="shared" si="46"/>
        <v>2706.202915416</v>
      </c>
      <c r="V16" s="293">
        <f t="shared" si="30"/>
        <v>2673.6282506933999</v>
      </c>
      <c r="W16" s="290">
        <v>0</v>
      </c>
      <c r="X16" s="293">
        <f t="shared" si="31"/>
        <v>213.890260055472</v>
      </c>
      <c r="Y16" s="290">
        <f t="shared" si="47"/>
        <v>2887.5185107488719</v>
      </c>
      <c r="Z16" s="313">
        <f t="shared" si="48"/>
        <v>2852.7613434898576</v>
      </c>
      <c r="AA16" s="313">
        <v>0</v>
      </c>
      <c r="AB16" s="313">
        <f t="shared" si="32"/>
        <v>228.22090747918861</v>
      </c>
      <c r="AC16" s="313">
        <f t="shared" si="49"/>
        <v>3080.9822509690462</v>
      </c>
      <c r="AD16" s="314">
        <f t="shared" si="56"/>
        <v>3043.8963535036778</v>
      </c>
      <c r="AE16" s="314">
        <v>0</v>
      </c>
      <c r="AF16" s="314">
        <f t="shared" si="57"/>
        <v>243.51170828029422</v>
      </c>
      <c r="AG16" s="314">
        <f t="shared" si="51"/>
        <v>3287.4080617839718</v>
      </c>
      <c r="AH16" s="313">
        <f t="shared" si="58"/>
        <v>3247.8374091884239</v>
      </c>
      <c r="AI16" s="313">
        <v>0</v>
      </c>
      <c r="AJ16" s="313">
        <f t="shared" si="59"/>
        <v>259.82699273507393</v>
      </c>
      <c r="AK16" s="313">
        <f t="shared" si="53"/>
        <v>3507.6644019234977</v>
      </c>
      <c r="AL16" s="314">
        <f t="shared" si="60"/>
        <v>3465.4425156040479</v>
      </c>
      <c r="AM16" s="314">
        <v>0</v>
      </c>
      <c r="AN16" s="314">
        <f t="shared" si="61"/>
        <v>277.23540124832385</v>
      </c>
      <c r="AO16" s="314">
        <f t="shared" si="55"/>
        <v>3742.6779168523717</v>
      </c>
    </row>
    <row r="17" spans="1:41" ht="35" thickBot="1">
      <c r="A17" s="340" t="s">
        <v>285</v>
      </c>
      <c r="B17" s="239">
        <v>1</v>
      </c>
      <c r="C17" s="285">
        <v>20</v>
      </c>
      <c r="D17" s="237">
        <v>1</v>
      </c>
      <c r="E17" s="237">
        <v>2</v>
      </c>
      <c r="F17" s="257">
        <f t="shared" si="28"/>
        <v>40</v>
      </c>
      <c r="G17" s="286">
        <v>0</v>
      </c>
      <c r="H17" s="286">
        <f t="shared" si="36"/>
        <v>3.2</v>
      </c>
      <c r="I17" s="287">
        <f t="shared" si="37"/>
        <v>43.2</v>
      </c>
      <c r="J17" s="290">
        <f t="shared" si="38"/>
        <v>505.43999999999994</v>
      </c>
      <c r="K17" s="290">
        <v>0</v>
      </c>
      <c r="L17" s="293">
        <f t="shared" si="39"/>
        <v>40.435199999999995</v>
      </c>
      <c r="M17" s="341">
        <f>J17+L17</f>
        <v>545.87519999999995</v>
      </c>
      <c r="N17" s="291">
        <f>C17*E17*12*$J$1*$N$1</f>
        <v>536.77728000000002</v>
      </c>
      <c r="O17" s="291">
        <v>0</v>
      </c>
      <c r="P17" s="294">
        <f t="shared" si="42"/>
        <v>42.9421824</v>
      </c>
      <c r="Q17" s="291">
        <f t="shared" si="43"/>
        <v>579.7194624</v>
      </c>
      <c r="R17" s="292">
        <f t="shared" si="44"/>
        <v>572.74135776000003</v>
      </c>
      <c r="S17" s="292">
        <v>0</v>
      </c>
      <c r="T17" s="295">
        <f>R17*$K$1</f>
        <v>45.819308620800001</v>
      </c>
      <c r="U17" s="295">
        <f t="shared" si="46"/>
        <v>618.56066638080006</v>
      </c>
      <c r="V17" s="293">
        <f t="shared" si="30"/>
        <v>611.11502872992003</v>
      </c>
      <c r="W17" s="290">
        <v>0</v>
      </c>
      <c r="X17" s="293">
        <f t="shared" si="31"/>
        <v>48.889202298393606</v>
      </c>
      <c r="Y17" s="290">
        <f>V17+X17</f>
        <v>660.0042310283136</v>
      </c>
      <c r="Z17" s="313">
        <f t="shared" si="48"/>
        <v>652.05973565482464</v>
      </c>
      <c r="AA17" s="313">
        <v>0</v>
      </c>
      <c r="AB17" s="313">
        <f t="shared" si="32"/>
        <v>52.164778852385972</v>
      </c>
      <c r="AC17" s="313">
        <f>Z17+AB17</f>
        <v>704.22451450721064</v>
      </c>
      <c r="AD17" s="314">
        <f t="shared" si="56"/>
        <v>695.74773794369787</v>
      </c>
      <c r="AE17" s="314">
        <v>0</v>
      </c>
      <c r="AF17" s="314">
        <f t="shared" si="57"/>
        <v>55.659819035495829</v>
      </c>
      <c r="AG17" s="314">
        <f>AD17+AF17</f>
        <v>751.40755697919371</v>
      </c>
      <c r="AH17" s="313">
        <f t="shared" si="58"/>
        <v>742.36283638592556</v>
      </c>
      <c r="AI17" s="313">
        <v>0</v>
      </c>
      <c r="AJ17" s="313">
        <f t="shared" si="59"/>
        <v>59.389026910874044</v>
      </c>
      <c r="AK17" s="313">
        <f>AH17+AJ17</f>
        <v>801.75186329679957</v>
      </c>
      <c r="AL17" s="314">
        <f t="shared" si="60"/>
        <v>792.10114642378255</v>
      </c>
      <c r="AM17" s="314">
        <v>0</v>
      </c>
      <c r="AN17" s="314">
        <f t="shared" si="61"/>
        <v>63.368091713902608</v>
      </c>
      <c r="AO17" s="314">
        <f>AL17+AN17</f>
        <v>855.46923813768512</v>
      </c>
    </row>
    <row r="18" spans="1:41" ht="16">
      <c r="A18" s="240"/>
      <c r="B18" s="241"/>
      <c r="C18" s="289">
        <f>SUM(C9:C17)</f>
        <v>320</v>
      </c>
      <c r="D18" s="289">
        <f>SUM(D10:D17)</f>
        <v>8</v>
      </c>
      <c r="E18" s="289">
        <f>SUM(E10:E17)</f>
        <v>22</v>
      </c>
      <c r="F18" s="289">
        <f>SUM(F10:F17)</f>
        <v>885</v>
      </c>
      <c r="G18" s="289">
        <f t="shared" ref="G18:AO18" si="62">SUM(G10:G17)</f>
        <v>0</v>
      </c>
      <c r="H18" s="289">
        <f t="shared" si="62"/>
        <v>70.8</v>
      </c>
      <c r="I18" s="289">
        <f t="shared" si="62"/>
        <v>955.8</v>
      </c>
      <c r="J18" s="289">
        <f t="shared" si="62"/>
        <v>11182.859999999999</v>
      </c>
      <c r="K18" s="289">
        <f t="shared" si="62"/>
        <v>0</v>
      </c>
      <c r="L18" s="289">
        <f t="shared" si="62"/>
        <v>894.62879999999996</v>
      </c>
      <c r="M18" s="289">
        <f t="shared" si="62"/>
        <v>12077.488799999999</v>
      </c>
      <c r="N18" s="289">
        <f t="shared" si="62"/>
        <v>11876.197320000001</v>
      </c>
      <c r="O18" s="289">
        <f t="shared" si="62"/>
        <v>0</v>
      </c>
      <c r="P18" s="289">
        <f t="shared" si="62"/>
        <v>950.09578560000011</v>
      </c>
      <c r="Q18" s="289">
        <f t="shared" si="62"/>
        <v>12826.2931056</v>
      </c>
      <c r="R18" s="289">
        <f t="shared" si="62"/>
        <v>12671.90254044</v>
      </c>
      <c r="S18" s="289">
        <f t="shared" si="62"/>
        <v>0</v>
      </c>
      <c r="T18" s="289">
        <f t="shared" si="62"/>
        <v>1013.7522032352001</v>
      </c>
      <c r="U18" s="289">
        <f t="shared" si="62"/>
        <v>13685.654743675197</v>
      </c>
      <c r="V18" s="289">
        <f t="shared" si="62"/>
        <v>13520.920010649481</v>
      </c>
      <c r="W18" s="289">
        <f t="shared" si="62"/>
        <v>0</v>
      </c>
      <c r="X18" s="289">
        <f t="shared" si="62"/>
        <v>1081.6736008519583</v>
      </c>
      <c r="Y18" s="289">
        <f t="shared" si="62"/>
        <v>14602.593611501436</v>
      </c>
      <c r="Z18" s="289">
        <f t="shared" si="62"/>
        <v>14426.821651362992</v>
      </c>
      <c r="AA18" s="289">
        <f t="shared" si="62"/>
        <v>0</v>
      </c>
      <c r="AB18" s="289">
        <f t="shared" si="62"/>
        <v>1154.1457321090395</v>
      </c>
      <c r="AC18" s="289">
        <f t="shared" si="62"/>
        <v>15580.967383472032</v>
      </c>
      <c r="AD18" s="289">
        <f t="shared" si="62"/>
        <v>15393.418702004314</v>
      </c>
      <c r="AE18" s="289">
        <f t="shared" si="62"/>
        <v>0</v>
      </c>
      <c r="AF18" s="289">
        <f t="shared" si="62"/>
        <v>1231.4734961603449</v>
      </c>
      <c r="AG18" s="289">
        <f t="shared" si="62"/>
        <v>16624.89219816466</v>
      </c>
      <c r="AH18" s="289">
        <f t="shared" si="62"/>
        <v>16424.777755038598</v>
      </c>
      <c r="AI18" s="289">
        <f t="shared" si="62"/>
        <v>0</v>
      </c>
      <c r="AJ18" s="289">
        <f t="shared" si="62"/>
        <v>1313.9822204030881</v>
      </c>
      <c r="AK18" s="289">
        <f t="shared" si="62"/>
        <v>17738.759975441691</v>
      </c>
      <c r="AL18" s="289">
        <f t="shared" si="62"/>
        <v>17525.237864626182</v>
      </c>
      <c r="AM18" s="289">
        <f t="shared" si="62"/>
        <v>0</v>
      </c>
      <c r="AN18" s="289">
        <f t="shared" si="62"/>
        <v>1402.0190291700949</v>
      </c>
      <c r="AO18" s="289">
        <f t="shared" si="62"/>
        <v>18927.256893796282</v>
      </c>
    </row>
    <row r="19" spans="1:41" ht="17">
      <c r="A19" s="197" t="s">
        <v>1</v>
      </c>
      <c r="B19" s="197"/>
      <c r="C19" s="288">
        <f>C8+C18</f>
        <v>560</v>
      </c>
      <c r="D19" s="288">
        <f>D8+D18</f>
        <v>12</v>
      </c>
      <c r="E19" s="288">
        <f t="shared" ref="E19:AO19" si="63">E8+E18</f>
        <v>26</v>
      </c>
      <c r="F19" s="288">
        <f t="shared" si="63"/>
        <v>3050</v>
      </c>
      <c r="G19" s="288">
        <f t="shared" si="63"/>
        <v>391.99080000000004</v>
      </c>
      <c r="H19" s="288">
        <f t="shared" si="63"/>
        <v>76</v>
      </c>
      <c r="I19" s="288">
        <f t="shared" si="63"/>
        <v>3517.9907999999996</v>
      </c>
      <c r="J19" s="288">
        <f t="shared" si="63"/>
        <v>14215.499999999998</v>
      </c>
      <c r="K19" s="288">
        <f t="shared" si="63"/>
        <v>412.76631239999995</v>
      </c>
      <c r="L19" s="288">
        <f t="shared" si="63"/>
        <v>960.33600000000001</v>
      </c>
      <c r="M19" s="288">
        <f t="shared" si="63"/>
        <v>15588.602312399998</v>
      </c>
      <c r="N19" s="288">
        <f t="shared" si="63"/>
        <v>15096.861000000001</v>
      </c>
      <c r="O19" s="288">
        <f t="shared" si="63"/>
        <v>438.35782376880002</v>
      </c>
      <c r="P19" s="288">
        <f t="shared" si="63"/>
        <v>1019.8768320000001</v>
      </c>
      <c r="Q19" s="288">
        <f t="shared" si="63"/>
        <v>16555.0956557688</v>
      </c>
      <c r="R19" s="288">
        <f t="shared" si="63"/>
        <v>16108.350687</v>
      </c>
      <c r="S19" s="288">
        <f t="shared" si="63"/>
        <v>467.72779796130959</v>
      </c>
      <c r="T19" s="288">
        <f t="shared" si="63"/>
        <v>1088.2085797440002</v>
      </c>
      <c r="U19" s="288">
        <f t="shared" si="63"/>
        <v>17664.287064705306</v>
      </c>
      <c r="V19" s="288">
        <f t="shared" si="63"/>
        <v>17187.610183028999</v>
      </c>
      <c r="W19" s="288">
        <f t="shared" si="63"/>
        <v>499.06556042471732</v>
      </c>
      <c r="X19" s="288">
        <f t="shared" si="63"/>
        <v>1161.1185545868479</v>
      </c>
      <c r="Y19" s="288">
        <f t="shared" si="63"/>
        <v>18847.794298040564</v>
      </c>
      <c r="Z19" s="288">
        <f t="shared" si="63"/>
        <v>18339.180065291941</v>
      </c>
      <c r="AA19" s="288">
        <f t="shared" si="63"/>
        <v>532.50295297317336</v>
      </c>
      <c r="AB19" s="288">
        <f t="shared" si="63"/>
        <v>1238.9134977441668</v>
      </c>
      <c r="AC19" s="288">
        <f t="shared" si="63"/>
        <v>20110.596516009282</v>
      </c>
      <c r="AD19" s="288">
        <f t="shared" si="63"/>
        <v>19567.905129666498</v>
      </c>
      <c r="AE19" s="288">
        <f t="shared" si="63"/>
        <v>568.18065082237592</v>
      </c>
      <c r="AF19" s="288">
        <f t="shared" si="63"/>
        <v>1321.9207020930255</v>
      </c>
      <c r="AG19" s="288">
        <f t="shared" si="63"/>
        <v>21458.006482581903</v>
      </c>
      <c r="AH19" s="288">
        <f t="shared" si="63"/>
        <v>20878.954773354151</v>
      </c>
      <c r="AI19" s="288">
        <f t="shared" si="63"/>
        <v>606.24875442747509</v>
      </c>
      <c r="AJ19" s="288">
        <f t="shared" si="63"/>
        <v>1410.4893891332586</v>
      </c>
      <c r="AK19" s="288">
        <f t="shared" si="63"/>
        <v>22895.69291691489</v>
      </c>
      <c r="AL19" s="288">
        <f t="shared" si="63"/>
        <v>22277.844743168876</v>
      </c>
      <c r="AM19" s="288">
        <f t="shared" si="63"/>
        <v>646.86742097411593</v>
      </c>
      <c r="AN19" s="288">
        <f t="shared" si="63"/>
        <v>1504.9921782051865</v>
      </c>
      <c r="AO19" s="288">
        <f t="shared" si="63"/>
        <v>24429.704342348185</v>
      </c>
    </row>
    <row r="20" spans="1:41" ht="136">
      <c r="A20" s="197" t="s">
        <v>194</v>
      </c>
      <c r="B20" s="197" t="s">
        <v>216</v>
      </c>
      <c r="C20" s="197" t="s">
        <v>195</v>
      </c>
      <c r="D20" s="197" t="s">
        <v>196</v>
      </c>
      <c r="E20" s="197" t="s">
        <v>0</v>
      </c>
      <c r="F20" s="198" t="s">
        <v>287</v>
      </c>
      <c r="G20" s="198" t="s">
        <v>305</v>
      </c>
      <c r="H20" s="198" t="s">
        <v>304</v>
      </c>
      <c r="I20" s="198" t="s">
        <v>288</v>
      </c>
      <c r="J20" s="199" t="s">
        <v>289</v>
      </c>
      <c r="K20" s="199" t="s">
        <v>306</v>
      </c>
      <c r="L20" s="199" t="s">
        <v>307</v>
      </c>
      <c r="M20" s="199" t="s">
        <v>290</v>
      </c>
      <c r="N20" s="200" t="s">
        <v>292</v>
      </c>
      <c r="O20" s="200" t="s">
        <v>308</v>
      </c>
      <c r="P20" s="200" t="s">
        <v>309</v>
      </c>
      <c r="Q20" s="200" t="s">
        <v>197</v>
      </c>
      <c r="R20" s="201" t="s">
        <v>293</v>
      </c>
      <c r="S20" s="201" t="s">
        <v>311</v>
      </c>
      <c r="T20" s="201" t="s">
        <v>312</v>
      </c>
      <c r="U20" s="201" t="s">
        <v>291</v>
      </c>
      <c r="V20" s="199" t="s">
        <v>294</v>
      </c>
      <c r="W20" s="199" t="s">
        <v>310</v>
      </c>
      <c r="X20" s="199" t="s">
        <v>313</v>
      </c>
      <c r="Y20" s="199" t="s">
        <v>295</v>
      </c>
      <c r="Z20" s="200" t="s">
        <v>296</v>
      </c>
      <c r="AA20" s="200" t="s">
        <v>314</v>
      </c>
      <c r="AB20" s="200" t="s">
        <v>315</v>
      </c>
      <c r="AC20" s="200" t="s">
        <v>297</v>
      </c>
      <c r="AD20" s="201" t="s">
        <v>298</v>
      </c>
      <c r="AE20" s="201" t="s">
        <v>318</v>
      </c>
      <c r="AF20" s="201" t="s">
        <v>319</v>
      </c>
      <c r="AG20" s="201" t="s">
        <v>299</v>
      </c>
      <c r="AH20" s="200" t="s">
        <v>300</v>
      </c>
      <c r="AI20" s="200" t="s">
        <v>316</v>
      </c>
      <c r="AJ20" s="200" t="s">
        <v>317</v>
      </c>
      <c r="AK20" s="200" t="s">
        <v>301</v>
      </c>
      <c r="AL20" s="201" t="s">
        <v>302</v>
      </c>
      <c r="AM20" s="342" t="s">
        <v>320</v>
      </c>
      <c r="AN20" s="343" t="s">
        <v>321</v>
      </c>
      <c r="AO20" s="201" t="s">
        <v>303</v>
      </c>
    </row>
    <row r="23" spans="1:41">
      <c r="B23" s="24" t="s">
        <v>219</v>
      </c>
      <c r="C23" s="296">
        <f>AVERAGE(C4:C7,C10:C17)</f>
        <v>46.666666666666664</v>
      </c>
    </row>
    <row r="24" spans="1:41">
      <c r="B24" s="24" t="s">
        <v>220</v>
      </c>
      <c r="C24" s="296">
        <f>C23/15.866</f>
        <v>2.9413000546241439</v>
      </c>
    </row>
    <row r="27" spans="1:41" ht="24">
      <c r="A27" s="312"/>
    </row>
    <row r="30" spans="1:41">
      <c r="B30" s="344">
        <v>2021</v>
      </c>
      <c r="C30" s="344">
        <v>2022</v>
      </c>
      <c r="D30" s="344">
        <v>2023</v>
      </c>
      <c r="E30" s="344">
        <v>2024</v>
      </c>
      <c r="F30" s="344">
        <v>2025</v>
      </c>
      <c r="G30" s="344">
        <v>2026</v>
      </c>
      <c r="H30" s="344">
        <v>2027</v>
      </c>
      <c r="I30" s="344">
        <v>2028</v>
      </c>
      <c r="J30" s="344">
        <v>2029</v>
      </c>
    </row>
    <row r="31" spans="1:41">
      <c r="A31" s="345" t="s">
        <v>235</v>
      </c>
      <c r="B31" s="345"/>
      <c r="C31" s="345"/>
      <c r="D31" s="345"/>
      <c r="E31" s="345"/>
      <c r="F31" s="345"/>
      <c r="G31" s="345"/>
      <c r="H31" s="345"/>
      <c r="I31" s="345"/>
      <c r="J31" s="345"/>
    </row>
    <row r="32" spans="1:41">
      <c r="A32" s="24" t="s">
        <v>236</v>
      </c>
      <c r="B32" s="15">
        <f>G19</f>
        <v>391.99080000000004</v>
      </c>
      <c r="C32" s="15">
        <f>K19</f>
        <v>412.76631239999995</v>
      </c>
      <c r="D32" s="15">
        <f>O19</f>
        <v>438.35782376880002</v>
      </c>
      <c r="E32" s="15">
        <f>S19</f>
        <v>467.72779796130959</v>
      </c>
      <c r="F32" s="330">
        <f>W19</f>
        <v>499.06556042471732</v>
      </c>
      <c r="G32" s="330">
        <f>AA19</f>
        <v>532.50295297317336</v>
      </c>
      <c r="H32" s="330">
        <f>AE19</f>
        <v>568.18065082237592</v>
      </c>
      <c r="I32" s="330">
        <f>AI19</f>
        <v>606.24875442747509</v>
      </c>
      <c r="J32" s="330">
        <f>AM19</f>
        <v>646.86742097411593</v>
      </c>
      <c r="K32" s="330"/>
    </row>
    <row r="33" spans="1:11">
      <c r="A33" s="24" t="s">
        <v>237</v>
      </c>
      <c r="B33" s="15">
        <f>H19</f>
        <v>76</v>
      </c>
      <c r="C33" s="15">
        <f>L19</f>
        <v>960.33600000000001</v>
      </c>
      <c r="D33" s="15">
        <f>P19</f>
        <v>1019.8768320000001</v>
      </c>
      <c r="E33" s="15">
        <f>T19</f>
        <v>1088.2085797440002</v>
      </c>
      <c r="F33" s="15">
        <f>X19</f>
        <v>1161.1185545868479</v>
      </c>
      <c r="G33" s="15">
        <f>AB19</f>
        <v>1238.9134977441668</v>
      </c>
      <c r="H33" s="15">
        <f>AF19</f>
        <v>1321.9207020930255</v>
      </c>
      <c r="I33" s="15">
        <f>AJ19</f>
        <v>1410.4893891332586</v>
      </c>
      <c r="J33" s="15">
        <f>AN19</f>
        <v>1504.9921782051865</v>
      </c>
      <c r="K33" s="15"/>
    </row>
    <row r="34" spans="1:11">
      <c r="A34" s="24" t="s">
        <v>239</v>
      </c>
      <c r="B34" s="15">
        <f>G8+H8</f>
        <v>397.19080000000002</v>
      </c>
      <c r="C34" s="15">
        <f>K8+L8</f>
        <v>478.47351239999995</v>
      </c>
      <c r="D34" s="15">
        <f>O8+P8</f>
        <v>508.1388701688</v>
      </c>
      <c r="E34" s="15">
        <f>S8+T8</f>
        <v>542.18417447010961</v>
      </c>
      <c r="F34" s="15">
        <f>W8+X8</f>
        <v>578.51051415960694</v>
      </c>
      <c r="G34" s="15">
        <f>AA8+AB8</f>
        <v>617.27071860830051</v>
      </c>
      <c r="H34" s="15">
        <f>AE8+AF8</f>
        <v>658.62785675505665</v>
      </c>
      <c r="I34" s="15">
        <f>AI8+AJ8</f>
        <v>702.75592315764538</v>
      </c>
      <c r="J34" s="15">
        <f>AM8+AN8</f>
        <v>749.84057000920768</v>
      </c>
      <c r="K34" s="15"/>
    </row>
    <row r="35" spans="1:11">
      <c r="A35" s="24" t="s">
        <v>241</v>
      </c>
      <c r="B35" s="15">
        <f>H18</f>
        <v>70.8</v>
      </c>
      <c r="C35" s="15">
        <f>L18</f>
        <v>894.62879999999996</v>
      </c>
      <c r="D35" s="15">
        <f>P18</f>
        <v>950.09578560000011</v>
      </c>
      <c r="E35" s="15">
        <f>T18</f>
        <v>1013.7522032352001</v>
      </c>
      <c r="F35" s="15">
        <f>X18</f>
        <v>1081.6736008519583</v>
      </c>
      <c r="G35" s="15">
        <f>AB18</f>
        <v>1154.1457321090395</v>
      </c>
      <c r="H35" s="15">
        <f>AF18</f>
        <v>1231.4734961603449</v>
      </c>
      <c r="I35" s="15">
        <f>AJ18</f>
        <v>1313.9822204030881</v>
      </c>
      <c r="J35" s="15">
        <f>AN18</f>
        <v>1402.0190291700949</v>
      </c>
      <c r="K35" s="15"/>
    </row>
    <row r="36" spans="1:11">
      <c r="A36" s="345" t="s">
        <v>238</v>
      </c>
      <c r="B36" s="346"/>
      <c r="C36" s="346"/>
      <c r="D36" s="346"/>
      <c r="E36" s="346"/>
      <c r="F36" s="346"/>
      <c r="G36" s="346"/>
      <c r="H36" s="346"/>
      <c r="I36" s="346"/>
      <c r="J36" s="346"/>
      <c r="K36" s="15"/>
    </row>
    <row r="37" spans="1:11">
      <c r="A37" s="24" t="s">
        <v>239</v>
      </c>
      <c r="B37" s="15">
        <f>F8</f>
        <v>2165</v>
      </c>
      <c r="C37" s="15">
        <f>J8</f>
        <v>3032.6399999999994</v>
      </c>
      <c r="D37" s="15">
        <f>N8</f>
        <v>3220.6636799999997</v>
      </c>
      <c r="E37" s="15">
        <f>R8</f>
        <v>3436.4481465599997</v>
      </c>
      <c r="F37" s="330">
        <f>E37*1.067</f>
        <v>3666.6901723795195</v>
      </c>
      <c r="G37" s="330">
        <f t="shared" ref="G37:J37" si="64">F37*1.067</f>
        <v>3912.3584139289469</v>
      </c>
      <c r="H37" s="330">
        <f t="shared" si="64"/>
        <v>4174.4864276621865</v>
      </c>
      <c r="I37" s="330">
        <f t="shared" si="64"/>
        <v>4454.1770183155531</v>
      </c>
      <c r="J37" s="330">
        <f t="shared" si="64"/>
        <v>4752.6068785426951</v>
      </c>
      <c r="K37" s="330"/>
    </row>
    <row r="38" spans="1:11">
      <c r="A38" s="24" t="s">
        <v>240</v>
      </c>
      <c r="B38" s="15">
        <f>F4</f>
        <v>840</v>
      </c>
      <c r="C38" s="121">
        <f>J4</f>
        <v>884.52</v>
      </c>
      <c r="D38" s="121">
        <f>N4</f>
        <v>939.36023999999998</v>
      </c>
      <c r="E38" s="121">
        <f>R4</f>
        <v>1002.2973760799999</v>
      </c>
      <c r="F38" s="330">
        <f t="shared" ref="F38:J39" si="65">E38*1.067</f>
        <v>1069.4513002773599</v>
      </c>
      <c r="G38" s="330">
        <f t="shared" si="65"/>
        <v>1141.104537395943</v>
      </c>
      <c r="H38" s="330">
        <f t="shared" si="65"/>
        <v>1217.5585414014711</v>
      </c>
      <c r="I38" s="330">
        <f t="shared" si="65"/>
        <v>1299.1349636753696</v>
      </c>
      <c r="J38" s="330">
        <f t="shared" si="65"/>
        <v>1386.1770062416192</v>
      </c>
      <c r="K38" s="330"/>
    </row>
    <row r="39" spans="1:11">
      <c r="A39" s="24" t="s">
        <v>241</v>
      </c>
      <c r="B39" s="15">
        <f>F18</f>
        <v>885</v>
      </c>
      <c r="C39" s="15">
        <f>J18</f>
        <v>11182.859999999999</v>
      </c>
      <c r="D39" s="15">
        <f>N18</f>
        <v>11876.197320000001</v>
      </c>
      <c r="E39" s="15">
        <f>R19</f>
        <v>16108.350687</v>
      </c>
      <c r="F39" s="330">
        <f t="shared" si="65"/>
        <v>17187.610183028999</v>
      </c>
      <c r="G39" s="330">
        <f t="shared" si="65"/>
        <v>18339.180065291941</v>
      </c>
      <c r="H39" s="330">
        <f t="shared" si="65"/>
        <v>19567.905129666498</v>
      </c>
      <c r="I39" s="330">
        <f t="shared" si="65"/>
        <v>20878.954773354151</v>
      </c>
      <c r="J39" s="330">
        <f t="shared" si="65"/>
        <v>22277.84474316888</v>
      </c>
      <c r="K39" s="330"/>
    </row>
    <row r="41" spans="1:11">
      <c r="A41" s="345" t="s">
        <v>242</v>
      </c>
      <c r="B41" s="346">
        <f>B42+B43</f>
        <v>3517.9907999999996</v>
      </c>
      <c r="C41" s="346">
        <f t="shared" ref="C41:J41" si="66">C42+C43</f>
        <v>15588.602312399998</v>
      </c>
      <c r="D41" s="346">
        <f t="shared" si="66"/>
        <v>16555.0956557688</v>
      </c>
      <c r="E41" s="346">
        <f t="shared" si="66"/>
        <v>21100.73521126531</v>
      </c>
      <c r="F41" s="346">
        <f t="shared" si="66"/>
        <v>22514.484470420084</v>
      </c>
      <c r="G41" s="346">
        <f t="shared" si="66"/>
        <v>24022.954929938227</v>
      </c>
      <c r="H41" s="346">
        <f t="shared" si="66"/>
        <v>25632.492910244087</v>
      </c>
      <c r="I41" s="346">
        <f t="shared" si="66"/>
        <v>27349.869935230439</v>
      </c>
      <c r="J41" s="346">
        <f t="shared" si="66"/>
        <v>29182.311220890879</v>
      </c>
      <c r="K41" s="15"/>
    </row>
    <row r="42" spans="1:11">
      <c r="A42" s="24" t="s">
        <v>239</v>
      </c>
      <c r="B42" s="15">
        <f>B37+B34</f>
        <v>2562.1907999999999</v>
      </c>
      <c r="C42" s="15">
        <f>C37+C34</f>
        <v>3511.1135123999993</v>
      </c>
      <c r="D42" s="15">
        <f t="shared" ref="D42:J42" si="67">D37+D34</f>
        <v>3728.8025501687998</v>
      </c>
      <c r="E42" s="15">
        <f t="shared" si="67"/>
        <v>3978.6323210301093</v>
      </c>
      <c r="F42" s="15">
        <f t="shared" si="67"/>
        <v>4245.2006865391268</v>
      </c>
      <c r="G42" s="15">
        <f t="shared" si="67"/>
        <v>4529.6291325372476</v>
      </c>
      <c r="H42" s="15">
        <f t="shared" si="67"/>
        <v>4833.1142844172427</v>
      </c>
      <c r="I42" s="15">
        <f t="shared" si="67"/>
        <v>5156.9329414731983</v>
      </c>
      <c r="J42" s="15">
        <f t="shared" si="67"/>
        <v>5502.4474485519031</v>
      </c>
      <c r="K42" s="15"/>
    </row>
    <row r="43" spans="1:11">
      <c r="A43" s="24" t="s">
        <v>241</v>
      </c>
      <c r="B43" s="15">
        <f>B39+B35</f>
        <v>955.8</v>
      </c>
      <c r="C43" s="15">
        <f t="shared" ref="C43:J43" si="68">C39+C35</f>
        <v>12077.488799999999</v>
      </c>
      <c r="D43" s="15">
        <f t="shared" si="68"/>
        <v>12826.293105600002</v>
      </c>
      <c r="E43" s="15">
        <f t="shared" si="68"/>
        <v>17122.102890235201</v>
      </c>
      <c r="F43" s="15">
        <f t="shared" si="68"/>
        <v>18269.283783880957</v>
      </c>
      <c r="G43" s="15">
        <f t="shared" si="68"/>
        <v>19493.325797400979</v>
      </c>
      <c r="H43" s="15">
        <f t="shared" si="68"/>
        <v>20799.378625826845</v>
      </c>
      <c r="I43" s="15">
        <f t="shared" si="68"/>
        <v>22192.936993757241</v>
      </c>
      <c r="J43" s="15">
        <f t="shared" si="68"/>
        <v>23679.863772338977</v>
      </c>
      <c r="K43" s="15"/>
    </row>
    <row r="45" spans="1:11">
      <c r="A45" s="345" t="s">
        <v>243</v>
      </c>
      <c r="B45" s="347">
        <f>B41*0.13</f>
        <v>457.33880399999998</v>
      </c>
      <c r="C45" s="347">
        <f t="shared" ref="C45:J45" si="69">C41*0.13</f>
        <v>2026.5183006119998</v>
      </c>
      <c r="D45" s="347">
        <f t="shared" si="69"/>
        <v>2152.1624352499443</v>
      </c>
      <c r="E45" s="347">
        <f t="shared" si="69"/>
        <v>2743.0955774644904</v>
      </c>
      <c r="F45" s="347">
        <f t="shared" si="69"/>
        <v>2926.8829811546111</v>
      </c>
      <c r="G45" s="347">
        <f t="shared" si="69"/>
        <v>3122.9841408919697</v>
      </c>
      <c r="H45" s="347">
        <f t="shared" si="69"/>
        <v>3332.2240783317316</v>
      </c>
      <c r="I45" s="347">
        <f t="shared" si="69"/>
        <v>3555.4830915799571</v>
      </c>
      <c r="J45" s="347">
        <f t="shared" si="69"/>
        <v>3793.7004587158144</v>
      </c>
      <c r="K45" s="330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6"/>
  <dimension ref="A1:K25"/>
  <sheetViews>
    <sheetView topLeftCell="B1" zoomScale="80" zoomScaleNormal="80" workbookViewId="0">
      <selection activeCell="K16" sqref="K16"/>
    </sheetView>
  </sheetViews>
  <sheetFormatPr baseColWidth="10" defaultColWidth="8.83203125" defaultRowHeight="15"/>
  <cols>
    <col min="1" max="1" width="41.33203125" bestFit="1" customWidth="1"/>
    <col min="2" max="2" width="15.33203125" customWidth="1"/>
    <col min="3" max="3" width="15.6640625" customWidth="1"/>
    <col min="4" max="4" width="17.33203125" customWidth="1"/>
    <col min="5" max="5" width="14.1640625" customWidth="1"/>
    <col min="6" max="6" width="14" customWidth="1"/>
    <col min="7" max="7" width="17" customWidth="1"/>
    <col min="8" max="9" width="17.1640625" customWidth="1"/>
    <col min="10" max="10" width="13.6640625" customWidth="1"/>
  </cols>
  <sheetData>
    <row r="1" spans="1:11" ht="18" thickTop="1" thickBot="1">
      <c r="A1" s="220" t="s">
        <v>71</v>
      </c>
      <c r="B1" s="220" t="s">
        <v>66</v>
      </c>
      <c r="C1" s="220" t="s">
        <v>67</v>
      </c>
      <c r="D1" s="220" t="s">
        <v>68</v>
      </c>
      <c r="E1" s="220" t="s">
        <v>173</v>
      </c>
      <c r="F1" s="220" t="s">
        <v>174</v>
      </c>
      <c r="G1" s="220" t="s">
        <v>175</v>
      </c>
      <c r="H1" s="220" t="s">
        <v>176</v>
      </c>
      <c r="I1" s="220" t="s">
        <v>177</v>
      </c>
      <c r="J1" s="220" t="s">
        <v>178</v>
      </c>
    </row>
    <row r="2" spans="1:11" ht="18" thickTop="1" thickBot="1">
      <c r="A2" s="221" t="s">
        <v>76</v>
      </c>
      <c r="B2" s="259">
        <f>Исходные!B71</f>
        <v>34000</v>
      </c>
      <c r="C2" s="259">
        <f>Исходные!C71</f>
        <v>78144</v>
      </c>
      <c r="D2" s="259">
        <f>Исходные!D71</f>
        <v>107628.4</v>
      </c>
      <c r="E2" s="259">
        <f>Исходные!E71</f>
        <v>139535.96800000005</v>
      </c>
      <c r="F2" s="259">
        <f>Исходные!F71</f>
        <v>174022.86387200005</v>
      </c>
      <c r="G2" s="259">
        <f>Исходные!G71</f>
        <v>180983.77842688005</v>
      </c>
      <c r="H2" s="259">
        <f>Исходные!H71</f>
        <v>188223.12956395524</v>
      </c>
      <c r="I2" s="259">
        <f>Исходные!I71</f>
        <v>197090.37293915346</v>
      </c>
      <c r="J2" s="259">
        <f>Исходные!J71</f>
        <v>204973.98785671964</v>
      </c>
    </row>
    <row r="3" spans="1:11" ht="18" thickTop="1" thickBot="1">
      <c r="A3" s="221" t="s">
        <v>77</v>
      </c>
      <c r="B3" s="260">
        <f>Исходные!B115</f>
        <v>22740</v>
      </c>
      <c r="C3" s="260">
        <f>Исходные!C115</f>
        <v>39606.6</v>
      </c>
      <c r="D3" s="260">
        <f>Исходные!D115</f>
        <v>54440.619200000001</v>
      </c>
      <c r="E3" s="260">
        <f>Исходные!E115</f>
        <v>70570.797440000009</v>
      </c>
      <c r="F3" s="260">
        <f>Исходные!F115</f>
        <v>87951.247155200006</v>
      </c>
      <c r="G3" s="260">
        <f>Исходные!G115</f>
        <v>91469.297041408019</v>
      </c>
      <c r="H3" s="260">
        <f>Исходные!H115</f>
        <v>95128.068923064333</v>
      </c>
      <c r="I3" s="260">
        <f>Исходные!I115</f>
        <v>99548.818048601315</v>
      </c>
      <c r="J3" s="260">
        <f>Исходные!J115</f>
        <v>103530.77077054536</v>
      </c>
    </row>
    <row r="4" spans="1:11" ht="18" thickTop="1" thickBot="1">
      <c r="A4" s="221" t="s">
        <v>81</v>
      </c>
      <c r="B4" s="260">
        <f>Исходные!B116</f>
        <v>955.8</v>
      </c>
      <c r="C4" s="260">
        <f>Исходные!C116</f>
        <v>12077.488799999999</v>
      </c>
      <c r="D4" s="260">
        <f>Исходные!D116</f>
        <v>12826.2931056</v>
      </c>
      <c r="E4" s="260">
        <f>Исходные!E116</f>
        <v>13685.654743675197</v>
      </c>
      <c r="F4" s="260">
        <f>Исходные!F116</f>
        <v>14602.593611501436</v>
      </c>
      <c r="G4" s="260">
        <f>Исходные!G116</f>
        <v>15580.967383472032</v>
      </c>
      <c r="H4" s="260">
        <f>Исходные!H116</f>
        <v>16624.89219816466</v>
      </c>
      <c r="I4" s="260">
        <f>Исходные!I116</f>
        <v>17738.759975441691</v>
      </c>
      <c r="J4" s="260">
        <f>Исходные!J116</f>
        <v>18927.256893796282</v>
      </c>
    </row>
    <row r="5" spans="1:11" ht="18" thickTop="1" thickBot="1">
      <c r="A5" s="221" t="s">
        <v>46</v>
      </c>
      <c r="B5" s="260">
        <f>B3+B4</f>
        <v>23695.8</v>
      </c>
      <c r="C5" s="260">
        <f t="shared" ref="C5:J5" si="0">C3+C4</f>
        <v>51684.088799999998</v>
      </c>
      <c r="D5" s="260">
        <f t="shared" si="0"/>
        <v>67266.912305599995</v>
      </c>
      <c r="E5" s="260">
        <f t="shared" si="0"/>
        <v>84256.45218367521</v>
      </c>
      <c r="F5" s="260">
        <f t="shared" si="0"/>
        <v>102553.84076670144</v>
      </c>
      <c r="G5" s="260">
        <f t="shared" si="0"/>
        <v>107050.26442488005</v>
      </c>
      <c r="H5" s="260">
        <f t="shared" si="0"/>
        <v>111752.96112122899</v>
      </c>
      <c r="I5" s="260">
        <f t="shared" si="0"/>
        <v>117287.578024043</v>
      </c>
      <c r="J5" s="260">
        <f t="shared" si="0"/>
        <v>122458.02766434164</v>
      </c>
    </row>
    <row r="6" spans="1:11" ht="18" thickTop="1" thickBot="1">
      <c r="A6" s="221" t="s">
        <v>18</v>
      </c>
      <c r="B6" s="260">
        <f>B2-B5</f>
        <v>10304.200000000001</v>
      </c>
      <c r="C6" s="260">
        <f t="shared" ref="C6:J6" si="1">C2-C5</f>
        <v>26459.911200000002</v>
      </c>
      <c r="D6" s="260">
        <f t="shared" si="1"/>
        <v>40361.487694399999</v>
      </c>
      <c r="E6" s="260">
        <f t="shared" si="1"/>
        <v>55279.515816324842</v>
      </c>
      <c r="F6" s="260">
        <f t="shared" si="1"/>
        <v>71469.023105298606</v>
      </c>
      <c r="G6" s="260">
        <f t="shared" si="1"/>
        <v>73933.514001999996</v>
      </c>
      <c r="H6" s="260">
        <f t="shared" si="1"/>
        <v>76470.168442726252</v>
      </c>
      <c r="I6" s="260">
        <f t="shared" si="1"/>
        <v>79802.794915110455</v>
      </c>
      <c r="J6" s="260">
        <f t="shared" si="1"/>
        <v>82515.960192377999</v>
      </c>
    </row>
    <row r="7" spans="1:11" ht="18" thickTop="1" thickBot="1">
      <c r="A7" s="221" t="s">
        <v>78</v>
      </c>
      <c r="B7" s="260">
        <f>Исходные!B110-Исходные!B79</f>
        <v>37892.199999999997</v>
      </c>
      <c r="C7" s="260">
        <f>Исходные!C110-Исходные!C79</f>
        <v>18569.999999999996</v>
      </c>
      <c r="D7" s="260">
        <f>Исходные!D110-Исходные!D79</f>
        <v>7332.8</v>
      </c>
      <c r="E7" s="260">
        <f>Исходные!E110-Исходные!E79</f>
        <v>7626.1120000000019</v>
      </c>
      <c r="F7" s="260">
        <f>Исходные!F110-Исходные!F79</f>
        <v>7931.1564800000015</v>
      </c>
      <c r="G7" s="260">
        <f>Исходные!G110-Исходные!G79</f>
        <v>8436.5327391999999</v>
      </c>
      <c r="H7" s="260">
        <f>Исходные!H110-Исходные!H79</f>
        <v>8578.3388487680022</v>
      </c>
      <c r="I7" s="260">
        <f>Исходные!I110-Исходные!I79</f>
        <v>8921.4724027187222</v>
      </c>
      <c r="J7" s="260">
        <f>Исходные!J110-Исходные!J79</f>
        <v>9278.331298827472</v>
      </c>
    </row>
    <row r="8" spans="1:11" ht="18" thickTop="1" thickBot="1">
      <c r="A8" s="221" t="s">
        <v>79</v>
      </c>
      <c r="B8" s="260">
        <f>Исходные!B9</f>
        <v>0</v>
      </c>
      <c r="C8" s="260">
        <f>Исходные!C9</f>
        <v>1200</v>
      </c>
      <c r="D8" s="260">
        <f>Исходные!D9</f>
        <v>1248</v>
      </c>
      <c r="E8" s="260">
        <f>Исходные!E9</f>
        <v>1297.9199999999998</v>
      </c>
      <c r="F8" s="260">
        <f>Исходные!F9</f>
        <v>1349.8368</v>
      </c>
      <c r="G8" s="260">
        <f>Исходные!G9</f>
        <v>1403.8302720000002</v>
      </c>
      <c r="H8" s="260">
        <f>Исходные!H9</f>
        <v>1459.9834828800003</v>
      </c>
      <c r="I8" s="260">
        <f>Исходные!I9</f>
        <v>1518.3828221952003</v>
      </c>
      <c r="J8" s="260">
        <f>Исходные!J9</f>
        <v>1579.1181350830082</v>
      </c>
    </row>
    <row r="9" spans="1:11" ht="18" thickTop="1" thickBot="1">
      <c r="A9" s="221" t="s">
        <v>80</v>
      </c>
      <c r="B9" s="260">
        <f>Исходные!B111</f>
        <v>2562.1907999999999</v>
      </c>
      <c r="C9" s="260">
        <f>Исходные!C111</f>
        <v>3511.1135123999998</v>
      </c>
      <c r="D9" s="260">
        <f>Исходные!D111</f>
        <v>3728.8025501688003</v>
      </c>
      <c r="E9" s="260">
        <f>Исходные!E111</f>
        <v>3978.6323210301093</v>
      </c>
      <c r="F9" s="260">
        <f>Исходные!F111</f>
        <v>4245.2006865391268</v>
      </c>
      <c r="G9" s="260">
        <f>Исходные!G111</f>
        <v>4529.6291325372476</v>
      </c>
      <c r="H9" s="260">
        <f>Исходные!H111</f>
        <v>4833.1142844172427</v>
      </c>
      <c r="I9" s="260">
        <f>Исходные!I111</f>
        <v>5156.9329414731983</v>
      </c>
      <c r="J9" s="260">
        <f>Исходные!J111</f>
        <v>5502.4474485519022</v>
      </c>
    </row>
    <row r="10" spans="1:11" ht="18" thickTop="1" thickBot="1">
      <c r="A10" s="221" t="s">
        <v>82</v>
      </c>
      <c r="B10" s="260">
        <f>B7+B8+B9</f>
        <v>40454.390799999994</v>
      </c>
      <c r="C10" s="260">
        <f t="shared" ref="C10:J10" si="2">C7+C8+C9</f>
        <v>23281.113512399996</v>
      </c>
      <c r="D10" s="260">
        <f t="shared" si="2"/>
        <v>12309.6025501688</v>
      </c>
      <c r="E10" s="260">
        <f t="shared" si="2"/>
        <v>12902.66432103011</v>
      </c>
      <c r="F10" s="260">
        <f t="shared" si="2"/>
        <v>13526.193966539129</v>
      </c>
      <c r="G10" s="260">
        <f t="shared" si="2"/>
        <v>14369.992143737247</v>
      </c>
      <c r="H10" s="260">
        <f t="shared" si="2"/>
        <v>14871.436616065246</v>
      </c>
      <c r="I10" s="260">
        <f t="shared" si="2"/>
        <v>15596.788166387121</v>
      </c>
      <c r="J10" s="260">
        <f t="shared" si="2"/>
        <v>16359.896882462383</v>
      </c>
    </row>
    <row r="11" spans="1:11" ht="18" thickTop="1" thickBot="1">
      <c r="A11" s="221" t="s">
        <v>19</v>
      </c>
      <c r="B11" s="259">
        <f>Исходные!B112</f>
        <v>1282.5</v>
      </c>
      <c r="C11" s="259">
        <f>Исходные!C112</f>
        <v>5130</v>
      </c>
      <c r="D11" s="259">
        <f>Исходные!D112</f>
        <v>5130</v>
      </c>
      <c r="E11" s="259">
        <f>Исходные!E112</f>
        <v>5130</v>
      </c>
      <c r="F11" s="259">
        <f>Исходные!F112</f>
        <v>5130</v>
      </c>
      <c r="G11" s="259">
        <f>Исходные!G112</f>
        <v>5115</v>
      </c>
      <c r="H11" s="259">
        <f>Исходные!H112</f>
        <v>5070</v>
      </c>
      <c r="I11" s="259">
        <f>Исходные!I112</f>
        <v>5070</v>
      </c>
      <c r="J11" s="259">
        <f>Исходные!J112</f>
        <v>5070</v>
      </c>
    </row>
    <row r="12" spans="1:11" ht="18" thickTop="1" thickBot="1">
      <c r="A12" s="221" t="s">
        <v>83</v>
      </c>
      <c r="B12" s="259">
        <f>Исходные!L113</f>
        <v>1017.6300000000001</v>
      </c>
      <c r="C12" s="259">
        <f>Исходные!M113</f>
        <v>1952.21</v>
      </c>
      <c r="D12" s="259">
        <f>Исходные!N113</f>
        <v>1838.66</v>
      </c>
      <c r="E12" s="259">
        <f>Исходные!O113</f>
        <v>1721.69</v>
      </c>
      <c r="F12" s="259">
        <f>Исходные!P113</f>
        <v>1601.1399999999999</v>
      </c>
      <c r="G12" s="259">
        <f>Исходные!Q113</f>
        <v>1476.93</v>
      </c>
      <c r="H12" s="259">
        <f>Исходные!R113</f>
        <v>1348.9299999999998</v>
      </c>
      <c r="I12" s="259">
        <f>Исходные!S113</f>
        <v>1217.07</v>
      </c>
      <c r="J12" s="259">
        <f>Исходные!T113</f>
        <v>1081.17</v>
      </c>
    </row>
    <row r="13" spans="1:11" ht="18" thickTop="1" thickBot="1">
      <c r="A13" s="221" t="s">
        <v>84</v>
      </c>
      <c r="B13" s="259">
        <f>B11+B12</f>
        <v>2300.13</v>
      </c>
      <c r="C13" s="259">
        <f t="shared" ref="C13:E13" si="3">C11+C12</f>
        <v>7082.21</v>
      </c>
      <c r="D13" s="259">
        <f t="shared" si="3"/>
        <v>6968.66</v>
      </c>
      <c r="E13" s="259">
        <f t="shared" si="3"/>
        <v>6851.6900000000005</v>
      </c>
      <c r="F13" s="259">
        <f t="shared" ref="F13:J13" si="4">F11+F12</f>
        <v>6731.1399999999994</v>
      </c>
      <c r="G13" s="259">
        <f t="shared" si="4"/>
        <v>6591.93</v>
      </c>
      <c r="H13" s="259">
        <f t="shared" si="4"/>
        <v>6418.93</v>
      </c>
      <c r="I13" s="259">
        <f t="shared" si="4"/>
        <v>6287.07</v>
      </c>
      <c r="J13" s="259">
        <f t="shared" si="4"/>
        <v>6151.17</v>
      </c>
    </row>
    <row r="14" spans="1:11" ht="18" thickTop="1" thickBot="1">
      <c r="A14" s="222" t="s">
        <v>85</v>
      </c>
      <c r="B14" s="259">
        <f>B6-B10-B13</f>
        <v>-32450.320799999994</v>
      </c>
      <c r="C14" s="259">
        <f t="shared" ref="C14:J14" si="5">C6-C10-C13</f>
        <v>-3903.4123123999934</v>
      </c>
      <c r="D14" s="259">
        <f t="shared" si="5"/>
        <v>21083.225144231201</v>
      </c>
      <c r="E14" s="259">
        <f t="shared" si="5"/>
        <v>35525.161495294728</v>
      </c>
      <c r="F14" s="259">
        <f t="shared" si="5"/>
        <v>51211.689138759481</v>
      </c>
      <c r="G14" s="259">
        <f t="shared" si="5"/>
        <v>52971.591858262749</v>
      </c>
      <c r="H14" s="259">
        <f t="shared" si="5"/>
        <v>55179.801826661009</v>
      </c>
      <c r="I14" s="259">
        <f t="shared" si="5"/>
        <v>57918.936748723332</v>
      </c>
      <c r="J14" s="259">
        <f t="shared" si="5"/>
        <v>60004.893309915613</v>
      </c>
    </row>
    <row r="15" spans="1:11" ht="18" thickTop="1" thickBot="1">
      <c r="A15" s="221" t="s">
        <v>151</v>
      </c>
      <c r="B15" s="259">
        <f>B24</f>
        <v>340</v>
      </c>
      <c r="C15" s="259">
        <f t="shared" ref="C15:F15" si="6">C24</f>
        <v>476.81965314000098</v>
      </c>
      <c r="D15" s="259">
        <f t="shared" si="6"/>
        <v>4207.7827716346801</v>
      </c>
      <c r="E15" s="259">
        <f t="shared" si="6"/>
        <v>6356.5277242942093</v>
      </c>
      <c r="F15" s="259">
        <f t="shared" si="6"/>
        <v>8691.424370813922</v>
      </c>
      <c r="G15" s="259">
        <f>G24</f>
        <v>9464.3432787394122</v>
      </c>
      <c r="H15" s="259">
        <f t="shared" ref="H15:J15" si="7">H24</f>
        <v>9658.0847739991514</v>
      </c>
      <c r="I15" s="259">
        <f t="shared" si="7"/>
        <v>9937.6360123084996</v>
      </c>
      <c r="J15" s="259">
        <f t="shared" si="7"/>
        <v>10118.626496487343</v>
      </c>
    </row>
    <row r="16" spans="1:11" ht="18" thickTop="1" thickBot="1">
      <c r="A16" s="221" t="s">
        <v>20</v>
      </c>
      <c r="B16" s="259">
        <f>B14-B15</f>
        <v>-32790.320799999994</v>
      </c>
      <c r="C16" s="259">
        <f t="shared" ref="C16:E16" si="8">C14-C15</f>
        <v>-4380.2319655399942</v>
      </c>
      <c r="D16" s="259">
        <f t="shared" si="8"/>
        <v>16875.442372596521</v>
      </c>
      <c r="E16" s="259">
        <f t="shared" si="8"/>
        <v>29168.633771000517</v>
      </c>
      <c r="F16" s="259">
        <f t="shared" ref="F16:I16" si="9">F14-F15</f>
        <v>42520.264767945555</v>
      </c>
      <c r="G16" s="259">
        <f t="shared" si="9"/>
        <v>43507.248579523337</v>
      </c>
      <c r="H16" s="259">
        <f t="shared" si="9"/>
        <v>45521.717052661857</v>
      </c>
      <c r="I16" s="259">
        <f t="shared" si="9"/>
        <v>47981.300736414836</v>
      </c>
      <c r="J16" s="259">
        <f>J14-J15</f>
        <v>49886.266813428272</v>
      </c>
      <c r="K16" s="23">
        <f>SUM(B16:J16)</f>
        <v>238290.3213280309</v>
      </c>
    </row>
    <row r="17" spans="1:10" ht="18" thickTop="1" thickBot="1">
      <c r="A17" s="141"/>
      <c r="B17" s="142"/>
      <c r="C17" s="142"/>
      <c r="D17" s="142"/>
      <c r="E17" s="142"/>
    </row>
    <row r="18" spans="1:10" ht="17" thickBot="1">
      <c r="A18" s="407" t="s">
        <v>20</v>
      </c>
      <c r="B18" s="143">
        <v>2021</v>
      </c>
      <c r="C18" s="143">
        <v>2022</v>
      </c>
      <c r="D18" s="143">
        <v>2023</v>
      </c>
      <c r="E18" s="143">
        <v>2024</v>
      </c>
      <c r="F18" s="143">
        <v>2025</v>
      </c>
      <c r="G18" s="143">
        <v>2026</v>
      </c>
      <c r="H18" s="143">
        <v>2027</v>
      </c>
      <c r="I18" s="143">
        <v>2028</v>
      </c>
      <c r="J18" s="143">
        <v>2029</v>
      </c>
    </row>
    <row r="19" spans="1:10" ht="17" thickBot="1">
      <c r="A19" s="408"/>
      <c r="B19" s="140">
        <f>B16</f>
        <v>-32790.320799999994</v>
      </c>
      <c r="C19" s="140">
        <f t="shared" ref="C19:I19" si="10">C16</f>
        <v>-4380.2319655399942</v>
      </c>
      <c r="D19" s="140">
        <f t="shared" si="10"/>
        <v>16875.442372596521</v>
      </c>
      <c r="E19" s="140">
        <f t="shared" si="10"/>
        <v>29168.633771000517</v>
      </c>
      <c r="F19" s="140">
        <f t="shared" si="10"/>
        <v>42520.264767945555</v>
      </c>
      <c r="G19" s="140">
        <f t="shared" si="10"/>
        <v>43507.248579523337</v>
      </c>
      <c r="H19" s="140">
        <f t="shared" si="10"/>
        <v>45521.717052661857</v>
      </c>
      <c r="I19" s="140">
        <f t="shared" si="10"/>
        <v>47981.300736414836</v>
      </c>
      <c r="J19" s="140">
        <f>J16</f>
        <v>49886.266813428272</v>
      </c>
    </row>
    <row r="21" spans="1:10">
      <c r="A21" s="61" t="s">
        <v>517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371">
        <f>Исходные!H154*2.2%</f>
        <v>529.81500000000005</v>
      </c>
      <c r="H21" s="371">
        <f>Исходные!I154*2.2%</f>
        <v>418.27500000000003</v>
      </c>
      <c r="I21" s="371">
        <f>Исходные!J154*2.2%</f>
        <v>306.73500000000001</v>
      </c>
      <c r="J21" s="371">
        <f>Исходные!K154*2.2%</f>
        <v>195.21700000000001</v>
      </c>
    </row>
    <row r="22" spans="1:10">
      <c r="A22" s="61" t="s">
        <v>188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</row>
    <row r="23" spans="1:10">
      <c r="A23" s="61" t="s">
        <v>189</v>
      </c>
      <c r="B23" s="310">
        <f>B2*1%</f>
        <v>340</v>
      </c>
      <c r="C23" s="329">
        <f>(C2-C5-C10)*15%</f>
        <v>476.81965314000098</v>
      </c>
      <c r="D23" s="329">
        <f t="shared" ref="D23:J23" si="11">(D2-D5-D10)*15%</f>
        <v>4207.7827716346801</v>
      </c>
      <c r="E23" s="329">
        <f t="shared" si="11"/>
        <v>6356.5277242942093</v>
      </c>
      <c r="F23" s="329">
        <f t="shared" si="11"/>
        <v>8691.424370813922</v>
      </c>
      <c r="G23" s="329">
        <f t="shared" si="11"/>
        <v>8934.5282787394117</v>
      </c>
      <c r="H23" s="329">
        <f t="shared" si="11"/>
        <v>9239.8097739991517</v>
      </c>
      <c r="I23" s="329">
        <f t="shared" si="11"/>
        <v>9630.901012308499</v>
      </c>
      <c r="J23" s="329">
        <f t="shared" si="11"/>
        <v>9923.409496487342</v>
      </c>
    </row>
    <row r="24" spans="1:10">
      <c r="A24" s="61" t="s">
        <v>44</v>
      </c>
      <c r="B24" s="329">
        <f>SUM(B22:B23)</f>
        <v>340</v>
      </c>
      <c r="C24" s="329">
        <f>SUM(C22:C23)</f>
        <v>476.81965314000098</v>
      </c>
      <c r="D24" s="329">
        <f t="shared" ref="D24:F24" si="12">SUM(D22:D23)</f>
        <v>4207.7827716346801</v>
      </c>
      <c r="E24" s="329">
        <f t="shared" si="12"/>
        <v>6356.5277242942093</v>
      </c>
      <c r="F24" s="329">
        <f t="shared" si="12"/>
        <v>8691.424370813922</v>
      </c>
      <c r="G24" s="329">
        <f>SUM(G21:G23)</f>
        <v>9464.3432787394122</v>
      </c>
      <c r="H24" s="329">
        <f>SUM(H21:H23)</f>
        <v>9658.0847739991514</v>
      </c>
      <c r="I24" s="329">
        <f>SUM(I21:I23)</f>
        <v>9937.6360123084996</v>
      </c>
      <c r="J24" s="329">
        <f>SUM(J21:J23)</f>
        <v>10118.626496487343</v>
      </c>
    </row>
    <row r="25" spans="1:10">
      <c r="D25" s="24"/>
      <c r="E25" s="24"/>
      <c r="F25" s="24"/>
      <c r="G25" s="24"/>
      <c r="H25" s="24"/>
      <c r="I25" s="24"/>
      <c r="J25" s="24"/>
    </row>
  </sheetData>
  <mergeCells count="1">
    <mergeCell ref="A18:A19"/>
  </mergeCells>
  <phoneticPr fontId="41" type="noConversion"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7"/>
  <dimension ref="A1:N34"/>
  <sheetViews>
    <sheetView zoomScale="80" zoomScaleNormal="80" zoomScalePageLayoutView="125" workbookViewId="0">
      <selection activeCell="K11" sqref="K11"/>
    </sheetView>
  </sheetViews>
  <sheetFormatPr baseColWidth="10" defaultColWidth="8.83203125" defaultRowHeight="15"/>
  <cols>
    <col min="1" max="1" width="4.5" style="35" customWidth="1"/>
    <col min="2" max="2" width="46.83203125" bestFit="1" customWidth="1"/>
    <col min="3" max="3" width="12.83203125" bestFit="1" customWidth="1"/>
    <col min="4" max="6" width="12.1640625" bestFit="1" customWidth="1"/>
    <col min="7" max="7" width="14.5" customWidth="1"/>
    <col min="8" max="8" width="13.6640625" customWidth="1"/>
    <col min="9" max="9" width="11" customWidth="1"/>
    <col min="10" max="10" width="11.83203125" customWidth="1"/>
    <col min="11" max="11" width="13.33203125" customWidth="1"/>
  </cols>
  <sheetData>
    <row r="1" spans="1:14" ht="17" thickTop="1" thickBot="1">
      <c r="A1" s="245" t="s">
        <v>202</v>
      </c>
      <c r="B1" s="245" t="s">
        <v>86</v>
      </c>
      <c r="C1" s="245" t="s">
        <v>69</v>
      </c>
      <c r="D1" s="245" t="s">
        <v>191</v>
      </c>
      <c r="E1" s="245" t="s">
        <v>192</v>
      </c>
      <c r="F1" s="245" t="s">
        <v>168</v>
      </c>
      <c r="G1" s="245" t="s">
        <v>169</v>
      </c>
      <c r="H1" s="245" t="s">
        <v>170</v>
      </c>
      <c r="I1" s="245" t="s">
        <v>193</v>
      </c>
      <c r="J1" s="245" t="s">
        <v>171</v>
      </c>
      <c r="K1" s="245" t="s">
        <v>172</v>
      </c>
    </row>
    <row r="2" spans="1:14" ht="18" thickTop="1" thickBot="1">
      <c r="A2" s="223">
        <v>1</v>
      </c>
      <c r="B2" s="224" t="s">
        <v>87</v>
      </c>
      <c r="C2" s="246">
        <f>Исходные!B71</f>
        <v>34000</v>
      </c>
      <c r="D2" s="246">
        <f>Исходные!C71</f>
        <v>78144</v>
      </c>
      <c r="E2" s="246">
        <f>Исходные!D71</f>
        <v>107628.4</v>
      </c>
      <c r="F2" s="246">
        <f>Исходные!E71</f>
        <v>139535.96800000005</v>
      </c>
      <c r="G2" s="246">
        <f>Исходные!F71</f>
        <v>174022.86387200005</v>
      </c>
      <c r="H2" s="246">
        <f>Исходные!G71</f>
        <v>180983.77842688005</v>
      </c>
      <c r="I2" s="246">
        <f>Исходные!H71</f>
        <v>188223.12956395524</v>
      </c>
      <c r="J2" s="246">
        <f>Исходные!I71</f>
        <v>197090.37293915346</v>
      </c>
      <c r="K2" s="246">
        <f>Исходные!J71</f>
        <v>204973.98785671964</v>
      </c>
    </row>
    <row r="3" spans="1:14" ht="18" thickTop="1" thickBot="1">
      <c r="A3" s="223">
        <v>2</v>
      </c>
      <c r="B3" s="224" t="s">
        <v>88</v>
      </c>
      <c r="C3" s="246">
        <f>Исходные!B115</f>
        <v>22740</v>
      </c>
      <c r="D3" s="246">
        <f>Исходные!C115</f>
        <v>39606.6</v>
      </c>
      <c r="E3" s="246">
        <f>Исходные!D115</f>
        <v>54440.619200000001</v>
      </c>
      <c r="F3" s="246">
        <f>Исходные!E115</f>
        <v>70570.797440000009</v>
      </c>
      <c r="G3" s="246">
        <f>Исходные!F115</f>
        <v>87951.247155200006</v>
      </c>
      <c r="H3" s="246">
        <f>Исходные!G115</f>
        <v>91469.297041408019</v>
      </c>
      <c r="I3" s="246">
        <f>Исходные!H115</f>
        <v>95128.068923064333</v>
      </c>
      <c r="J3" s="246">
        <f>Исходные!I115</f>
        <v>99548.818048601315</v>
      </c>
      <c r="K3" s="246">
        <f>Исходные!J115</f>
        <v>103530.77077054536</v>
      </c>
    </row>
    <row r="4" spans="1:14" s="24" customFormat="1" ht="18" thickTop="1" thickBot="1">
      <c r="A4" s="223">
        <v>3</v>
      </c>
      <c r="B4" s="224" t="s">
        <v>129</v>
      </c>
      <c r="C4" s="246">
        <f>Исходные!B116</f>
        <v>955.8</v>
      </c>
      <c r="D4" s="246">
        <f>Исходные!C116</f>
        <v>12077.488799999999</v>
      </c>
      <c r="E4" s="246">
        <f>Исходные!D116</f>
        <v>12826.2931056</v>
      </c>
      <c r="F4" s="246">
        <f>Исходные!E116</f>
        <v>13685.654743675197</v>
      </c>
      <c r="G4" s="246">
        <f>Исходные!F116</f>
        <v>14602.593611501436</v>
      </c>
      <c r="H4" s="246">
        <f>Исходные!G116</f>
        <v>15580.967383472032</v>
      </c>
      <c r="I4" s="246">
        <f>Исходные!H116</f>
        <v>16624.89219816466</v>
      </c>
      <c r="J4" s="246">
        <f>Исходные!I116</f>
        <v>17738.759975441691</v>
      </c>
      <c r="K4" s="246">
        <f>Исходные!J116</f>
        <v>18927.256893796282</v>
      </c>
    </row>
    <row r="5" spans="1:14" ht="18" thickTop="1" thickBot="1">
      <c r="A5" s="223">
        <v>4</v>
      </c>
      <c r="B5" s="224" t="s">
        <v>46</v>
      </c>
      <c r="C5" s="246">
        <f>C3+C4</f>
        <v>23695.8</v>
      </c>
      <c r="D5" s="246">
        <f t="shared" ref="D5:F5" si="0">D3+D4</f>
        <v>51684.088799999998</v>
      </c>
      <c r="E5" s="246">
        <f t="shared" si="0"/>
        <v>67266.912305599995</v>
      </c>
      <c r="F5" s="246">
        <f t="shared" si="0"/>
        <v>84256.45218367521</v>
      </c>
      <c r="G5" s="246">
        <f t="shared" ref="G5:K5" si="1">G3+G4</f>
        <v>102553.84076670144</v>
      </c>
      <c r="H5" s="246">
        <f t="shared" si="1"/>
        <v>107050.26442488005</v>
      </c>
      <c r="I5" s="246">
        <f t="shared" si="1"/>
        <v>111752.96112122899</v>
      </c>
      <c r="J5" s="246">
        <f t="shared" si="1"/>
        <v>117287.578024043</v>
      </c>
      <c r="K5" s="246">
        <f t="shared" si="1"/>
        <v>122458.02766434164</v>
      </c>
    </row>
    <row r="6" spans="1:14" ht="18" thickTop="1" thickBot="1">
      <c r="A6" s="223">
        <v>5</v>
      </c>
      <c r="B6" s="224" t="s">
        <v>89</v>
      </c>
      <c r="C6" s="246">
        <f>Исходные!B110</f>
        <v>37921</v>
      </c>
      <c r="D6" s="246">
        <f>Исходные!C110</f>
        <v>18599.951999999997</v>
      </c>
      <c r="E6" s="246">
        <f>Исходные!D110</f>
        <v>7363.9500800000005</v>
      </c>
      <c r="F6" s="246">
        <f>Исходные!E110</f>
        <v>7658.5080832000021</v>
      </c>
      <c r="G6" s="246">
        <f>Исходные!F110</f>
        <v>7964.8484065280018</v>
      </c>
      <c r="H6" s="246">
        <f>Исходные!G110</f>
        <v>8471.5723427891207</v>
      </c>
      <c r="I6" s="246">
        <f>Исходные!H110</f>
        <v>8614.7800365006879</v>
      </c>
      <c r="J6" s="246">
        <f>Исходные!I110</f>
        <v>8959.371237960715</v>
      </c>
      <c r="K6" s="246">
        <f>Исходные!J110</f>
        <v>9317.7460874791432</v>
      </c>
    </row>
    <row r="7" spans="1:14" ht="18" thickTop="1" thickBot="1">
      <c r="A7" s="223">
        <v>6</v>
      </c>
      <c r="B7" s="224" t="s">
        <v>212</v>
      </c>
      <c r="C7" s="246">
        <f>Исходные!B111</f>
        <v>2562.1907999999999</v>
      </c>
      <c r="D7" s="246">
        <f>Исходные!C111</f>
        <v>3511.1135123999998</v>
      </c>
      <c r="E7" s="246">
        <f>Исходные!D111</f>
        <v>3728.8025501688003</v>
      </c>
      <c r="F7" s="246">
        <f>Исходные!E111</f>
        <v>3978.6323210301093</v>
      </c>
      <c r="G7" s="246">
        <f>Исходные!F111</f>
        <v>4245.2006865391268</v>
      </c>
      <c r="H7" s="246">
        <f>Исходные!G111</f>
        <v>4529.6291325372476</v>
      </c>
      <c r="I7" s="246">
        <f>Исходные!H111</f>
        <v>4833.1142844172427</v>
      </c>
      <c r="J7" s="246">
        <f>Исходные!I111</f>
        <v>5156.9329414731983</v>
      </c>
      <c r="K7" s="246">
        <f>Исходные!J111</f>
        <v>5502.4474485519022</v>
      </c>
    </row>
    <row r="8" spans="1:14" ht="18" thickTop="1" thickBot="1">
      <c r="A8" s="223">
        <v>7</v>
      </c>
      <c r="B8" s="224" t="s">
        <v>82</v>
      </c>
      <c r="C8" s="246">
        <f>C6+C7</f>
        <v>40483.190799999997</v>
      </c>
      <c r="D8" s="246">
        <f t="shared" ref="D8:F8" si="2">D6+D7</f>
        <v>22111.065512399997</v>
      </c>
      <c r="E8" s="246">
        <f t="shared" si="2"/>
        <v>11092.752630168801</v>
      </c>
      <c r="F8" s="246">
        <f t="shared" si="2"/>
        <v>11637.140404230111</v>
      </c>
      <c r="G8" s="246">
        <f t="shared" ref="G8:K8" si="3">G6+G7</f>
        <v>12210.049093067129</v>
      </c>
      <c r="H8" s="246">
        <f t="shared" si="3"/>
        <v>13001.201475326368</v>
      </c>
      <c r="I8" s="246">
        <f t="shared" si="3"/>
        <v>13447.894320917931</v>
      </c>
      <c r="J8" s="246">
        <f t="shared" si="3"/>
        <v>14116.304179433913</v>
      </c>
      <c r="K8" s="246">
        <f t="shared" si="3"/>
        <v>14820.193536031045</v>
      </c>
    </row>
    <row r="9" spans="1:14" ht="18" thickTop="1" thickBot="1">
      <c r="A9" s="223">
        <v>8</v>
      </c>
      <c r="B9" s="224" t="s">
        <v>90</v>
      </c>
      <c r="C9" s="246">
        <f>'отчет о прибылях и убытках'!B24</f>
        <v>340</v>
      </c>
      <c r="D9" s="246">
        <f>'отчет о прибылях и убытках'!C24</f>
        <v>476.81965314000098</v>
      </c>
      <c r="E9" s="246">
        <f>'отчет о прибылях и убытках'!D24</f>
        <v>4207.7827716346801</v>
      </c>
      <c r="F9" s="246">
        <f>'отчет о прибылях и убытках'!E24</f>
        <v>6356.5277242942093</v>
      </c>
      <c r="G9" s="246">
        <f>'отчет о прибылях и убытках'!F24</f>
        <v>8691.424370813922</v>
      </c>
      <c r="H9" s="246">
        <f>'отчет о прибылях и убытках'!G24</f>
        <v>9464.3432787394122</v>
      </c>
      <c r="I9" s="246">
        <f>'отчет о прибылях и убытках'!H24</f>
        <v>9658.0847739991514</v>
      </c>
      <c r="J9" s="246">
        <f>'отчет о прибылях и убытках'!I24</f>
        <v>9937.6360123084996</v>
      </c>
      <c r="K9" s="246">
        <f>'отчет о прибылях и убытках'!J24</f>
        <v>10118.626496487343</v>
      </c>
    </row>
    <row r="10" spans="1:14" ht="18" thickTop="1" thickBot="1">
      <c r="A10" s="223">
        <v>9</v>
      </c>
      <c r="B10" s="225" t="s">
        <v>91</v>
      </c>
      <c r="C10" s="246">
        <f>C2-C5-C8-C9</f>
        <v>-30518.990799999996</v>
      </c>
      <c r="D10" s="246">
        <f t="shared" ref="D10:F10" si="4">D2-D5-D8-D9</f>
        <v>3872.0260344600047</v>
      </c>
      <c r="E10" s="246">
        <f t="shared" si="4"/>
        <v>25060.952292596518</v>
      </c>
      <c r="F10" s="246">
        <f t="shared" si="4"/>
        <v>37285.847687800517</v>
      </c>
      <c r="G10" s="246">
        <f t="shared" ref="G10:J10" si="5">G2-G5-G8-G9</f>
        <v>50567.549641417558</v>
      </c>
      <c r="H10" s="246">
        <f>H2-H5-H8-H9</f>
        <v>51467.969247934219</v>
      </c>
      <c r="I10" s="246">
        <f t="shared" si="5"/>
        <v>53364.189347809173</v>
      </c>
      <c r="J10" s="246">
        <f t="shared" si="5"/>
        <v>55748.854723368044</v>
      </c>
      <c r="K10" s="246">
        <f>K2-K5-K8-K9</f>
        <v>57577.140159859613</v>
      </c>
    </row>
    <row r="11" spans="1:14" ht="20" thickTop="1" thickBot="1">
      <c r="A11" s="223">
        <v>10</v>
      </c>
      <c r="B11" s="224" t="s">
        <v>92</v>
      </c>
      <c r="C11" s="246">
        <f>-(Исходные!C146)</f>
        <v>-51000</v>
      </c>
      <c r="D11" s="246">
        <v>0</v>
      </c>
      <c r="E11" s="246">
        <v>0</v>
      </c>
      <c r="F11" s="246">
        <v>0</v>
      </c>
      <c r="G11" s="246">
        <v>0</v>
      </c>
      <c r="H11" s="246">
        <v>0</v>
      </c>
      <c r="I11" s="246">
        <v>0</v>
      </c>
      <c r="J11" s="246">
        <v>0</v>
      </c>
      <c r="K11" s="246">
        <v>0</v>
      </c>
      <c r="N11" s="209"/>
    </row>
    <row r="12" spans="1:14" ht="18" thickTop="1" thickBot="1">
      <c r="A12" s="223">
        <v>11</v>
      </c>
      <c r="B12" s="225" t="s">
        <v>94</v>
      </c>
      <c r="C12" s="246">
        <f t="shared" ref="C12:K12" si="6">C11</f>
        <v>-51000</v>
      </c>
      <c r="D12" s="246">
        <f t="shared" si="6"/>
        <v>0</v>
      </c>
      <c r="E12" s="246">
        <f t="shared" si="6"/>
        <v>0</v>
      </c>
      <c r="F12" s="246">
        <f t="shared" si="6"/>
        <v>0</v>
      </c>
      <c r="G12" s="246">
        <f t="shared" si="6"/>
        <v>0</v>
      </c>
      <c r="H12" s="246">
        <f t="shared" si="6"/>
        <v>0</v>
      </c>
      <c r="I12" s="246">
        <f t="shared" si="6"/>
        <v>0</v>
      </c>
      <c r="J12" s="246">
        <f t="shared" si="6"/>
        <v>0</v>
      </c>
      <c r="K12" s="246">
        <f t="shared" si="6"/>
        <v>0</v>
      </c>
    </row>
    <row r="13" spans="1:14" s="24" customFormat="1" ht="18" thickTop="1" thickBot="1">
      <c r="A13" s="223">
        <v>12</v>
      </c>
      <c r="B13" s="224" t="s">
        <v>95</v>
      </c>
      <c r="C13" s="246">
        <f>Исходные!B158+Исходные!B159</f>
        <v>98000</v>
      </c>
      <c r="D13" s="246">
        <v>0</v>
      </c>
      <c r="E13" s="246">
        <v>0</v>
      </c>
      <c r="F13" s="246">
        <v>0</v>
      </c>
      <c r="G13" s="246">
        <v>0</v>
      </c>
      <c r="H13" s="246">
        <v>0</v>
      </c>
      <c r="I13" s="246">
        <v>0</v>
      </c>
      <c r="J13" s="246">
        <v>0</v>
      </c>
      <c r="K13" s="246">
        <v>0</v>
      </c>
    </row>
    <row r="14" spans="1:14" ht="18" thickTop="1" thickBot="1">
      <c r="A14" s="223">
        <v>13</v>
      </c>
      <c r="B14" s="224" t="s">
        <v>96</v>
      </c>
      <c r="C14" s="246">
        <f>'Расчет БГ'!J4+'Расчет БГ'!J7</f>
        <v>6109.1066666666666</v>
      </c>
      <c r="D14" s="246">
        <f>'Расчет БГ'!K4+'Расчет БГ'!K7</f>
        <v>8951.5466666666653</v>
      </c>
      <c r="E14" s="246">
        <f>'Расчет БГ'!L4+'Расчет БГ'!L7</f>
        <v>8951.5466666666653</v>
      </c>
      <c r="F14" s="246">
        <f>'Расчет БГ'!M4+'Расчет БГ'!M7</f>
        <v>8951.5466666666653</v>
      </c>
      <c r="G14" s="246">
        <f>'Расчет БГ'!N4+'Расчет БГ'!N7</f>
        <v>8951.5466666666653</v>
      </c>
      <c r="H14" s="246">
        <f>'Расчет БГ'!O4+'Расчет БГ'!O7</f>
        <v>8951.5466666666653</v>
      </c>
      <c r="I14" s="246">
        <f>'Расчет БГ'!P4+'Расчет БГ'!P7</f>
        <v>8951.5466666666653</v>
      </c>
      <c r="J14" s="246">
        <f>'Расчет БГ'!Q4+'Расчет БГ'!Q7</f>
        <v>8951.5466666666653</v>
      </c>
      <c r="K14" s="246">
        <f>'Расчет БГ'!R4+'Расчет БГ'!R7</f>
        <v>8951.5466666666653</v>
      </c>
    </row>
    <row r="15" spans="1:14" ht="18" thickTop="1" thickBot="1">
      <c r="A15" s="223">
        <v>14</v>
      </c>
      <c r="B15" s="224" t="s">
        <v>97</v>
      </c>
      <c r="C15" s="246">
        <f>'Расчет БГ'!J5</f>
        <v>1017.6300000000001</v>
      </c>
      <c r="D15" s="246">
        <f>'Расчет БГ'!K5</f>
        <v>1952.21</v>
      </c>
      <c r="E15" s="246">
        <f>'Расчет БГ'!L5</f>
        <v>1838.66</v>
      </c>
      <c r="F15" s="246">
        <f>'Расчет БГ'!M5</f>
        <v>1721.69</v>
      </c>
      <c r="G15" s="246">
        <f>'Расчет БГ'!N5</f>
        <v>1601.1399999999999</v>
      </c>
      <c r="H15" s="246">
        <f>'Расчет БГ'!O5</f>
        <v>1476.93</v>
      </c>
      <c r="I15" s="246">
        <f>'Расчет БГ'!P5</f>
        <v>1348.9299999999998</v>
      </c>
      <c r="J15" s="246">
        <f>'Расчет БГ'!Q5</f>
        <v>1217.07</v>
      </c>
      <c r="K15" s="246">
        <f>'Расчет БГ'!R5</f>
        <v>1081.17</v>
      </c>
    </row>
    <row r="16" spans="1:14" ht="18" thickTop="1" thickBot="1">
      <c r="A16" s="223">
        <v>15</v>
      </c>
      <c r="B16" s="225" t="s">
        <v>98</v>
      </c>
      <c r="C16" s="246">
        <f>C14-C15+C13</f>
        <v>103091.47666666667</v>
      </c>
      <c r="D16" s="246">
        <f>D14-D15+D13</f>
        <v>6999.3366666666652</v>
      </c>
      <c r="E16" s="246">
        <f t="shared" ref="E16:K16" si="7">E14-E15+E13</f>
        <v>7112.8866666666654</v>
      </c>
      <c r="F16" s="246">
        <f t="shared" si="7"/>
        <v>7229.8566666666648</v>
      </c>
      <c r="G16" s="246">
        <f t="shared" si="7"/>
        <v>7350.4066666666658</v>
      </c>
      <c r="H16" s="246">
        <f t="shared" si="7"/>
        <v>7474.616666666665</v>
      </c>
      <c r="I16" s="246">
        <f t="shared" si="7"/>
        <v>7602.616666666665</v>
      </c>
      <c r="J16" s="246">
        <f t="shared" si="7"/>
        <v>7734.4766666666656</v>
      </c>
      <c r="K16" s="246">
        <f t="shared" si="7"/>
        <v>7870.3766666666652</v>
      </c>
    </row>
    <row r="17" spans="1:11" ht="18" thickTop="1" thickBot="1">
      <c r="A17" s="223">
        <v>16</v>
      </c>
      <c r="B17" s="224" t="s">
        <v>99</v>
      </c>
      <c r="C17" s="246">
        <v>0</v>
      </c>
      <c r="D17" s="246">
        <f>C18</f>
        <v>21572.48586666667</v>
      </c>
      <c r="E17" s="246">
        <f>D18</f>
        <v>32443.848567793339</v>
      </c>
      <c r="F17" s="246">
        <f t="shared" ref="F17:K17" si="8">E18</f>
        <v>64617.687527056522</v>
      </c>
      <c r="G17" s="246">
        <f t="shared" si="8"/>
        <v>109133.39188152371</v>
      </c>
      <c r="H17" s="246">
        <f t="shared" si="8"/>
        <v>167051.34818960793</v>
      </c>
      <c r="I17" s="246">
        <f t="shared" si="8"/>
        <v>225993.93410420883</v>
      </c>
      <c r="J17" s="246">
        <f t="shared" si="8"/>
        <v>286960.74011868465</v>
      </c>
      <c r="K17" s="246">
        <f t="shared" si="8"/>
        <v>350444.07150871935</v>
      </c>
    </row>
    <row r="18" spans="1:11" ht="18" thickTop="1" thickBot="1">
      <c r="A18" s="223">
        <v>17</v>
      </c>
      <c r="B18" s="224" t="s">
        <v>100</v>
      </c>
      <c r="C18" s="246">
        <f>C10+C12+C16</f>
        <v>21572.48586666667</v>
      </c>
      <c r="D18" s="246">
        <f>D10+D12+D16+D17</f>
        <v>32443.848567793339</v>
      </c>
      <c r="E18" s="246">
        <f t="shared" ref="E18:K18" si="9">E10+E12+E16+E17</f>
        <v>64617.687527056522</v>
      </c>
      <c r="F18" s="246">
        <f>F10+F12+F16+F17</f>
        <v>109133.39188152371</v>
      </c>
      <c r="G18" s="246">
        <f t="shared" si="9"/>
        <v>167051.34818960793</v>
      </c>
      <c r="H18" s="246">
        <f t="shared" si="9"/>
        <v>225993.93410420883</v>
      </c>
      <c r="I18" s="246">
        <f t="shared" si="9"/>
        <v>286960.74011868465</v>
      </c>
      <c r="J18" s="246">
        <f t="shared" si="9"/>
        <v>350444.07150871935</v>
      </c>
      <c r="K18" s="246">
        <f t="shared" si="9"/>
        <v>415891.58833524561</v>
      </c>
    </row>
    <row r="19" spans="1:11" ht="16" thickTop="1">
      <c r="C19" s="146"/>
      <c r="D19" s="146"/>
      <c r="E19" s="146"/>
      <c r="F19" s="146"/>
    </row>
    <row r="24" spans="1:11" s="24" customFormat="1">
      <c r="A24" s="35"/>
    </row>
    <row r="25" spans="1:11" s="24" customFormat="1">
      <c r="A25" s="35"/>
    </row>
    <row r="34" spans="3:6">
      <c r="C34" s="121"/>
      <c r="D34" s="121"/>
      <c r="E34" s="121"/>
      <c r="F34" s="121"/>
    </row>
  </sheetData>
  <phoneticPr fontId="41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K16"/>
  <sheetViews>
    <sheetView workbookViewId="0">
      <selection activeCell="C11" sqref="C11"/>
    </sheetView>
  </sheetViews>
  <sheetFormatPr baseColWidth="10" defaultColWidth="8.83203125" defaultRowHeight="15"/>
  <cols>
    <col min="1" max="1" width="5.83203125" style="24" customWidth="1"/>
    <col min="2" max="2" width="60.6640625" customWidth="1"/>
    <col min="3" max="6" width="11.1640625" bestFit="1" customWidth="1"/>
    <col min="7" max="7" width="11.1640625" style="24" bestFit="1" customWidth="1"/>
    <col min="8" max="9" width="15.5" customWidth="1"/>
    <col min="10" max="10" width="13.33203125" customWidth="1"/>
  </cols>
  <sheetData>
    <row r="1" spans="1:11" ht="18">
      <c r="B1" s="153"/>
      <c r="C1" s="154" t="s">
        <v>69</v>
      </c>
      <c r="D1" s="154" t="s">
        <v>191</v>
      </c>
      <c r="E1" s="154" t="s">
        <v>192</v>
      </c>
      <c r="F1" s="154" t="s">
        <v>168</v>
      </c>
      <c r="G1" s="154" t="s">
        <v>169</v>
      </c>
      <c r="H1" s="154" t="s">
        <v>170</v>
      </c>
      <c r="I1" s="154" t="s">
        <v>193</v>
      </c>
      <c r="J1" s="154" t="s">
        <v>171</v>
      </c>
      <c r="K1" s="154" t="s">
        <v>172</v>
      </c>
    </row>
    <row r="2" spans="1:11" ht="18">
      <c r="B2" s="155" t="s">
        <v>162</v>
      </c>
      <c r="C2" s="156">
        <f>C6/C5</f>
        <v>0.22012740680272111</v>
      </c>
      <c r="D2" s="156">
        <f t="shared" ref="D2:K2" si="0">D6/D5</f>
        <v>0.36433927096237051</v>
      </c>
      <c r="E2" s="156">
        <f t="shared" si="0"/>
        <v>0.80674385836111162</v>
      </c>
      <c r="F2" s="156">
        <f t="shared" si="0"/>
        <v>1.5339495348891858</v>
      </c>
      <c r="G2" s="156">
        <f t="shared" si="0"/>
        <v>2.6859801519852331</v>
      </c>
      <c r="H2" s="156">
        <f t="shared" si="0"/>
        <v>4.2446339769695891</v>
      </c>
      <c r="I2" s="156">
        <f t="shared" si="0"/>
        <v>6.4790263088675113</v>
      </c>
      <c r="J2" s="156">
        <f t="shared" si="0"/>
        <v>9.916589395093915</v>
      </c>
      <c r="K2" s="156">
        <f t="shared" si="0"/>
        <v>15.76085616144505</v>
      </c>
    </row>
    <row r="3" spans="1:11" ht="18">
      <c r="B3" s="155" t="s">
        <v>163</v>
      </c>
      <c r="C3" s="170">
        <f>'отчет о прибылях и убытках'!B16</f>
        <v>-32790.320799999994</v>
      </c>
      <c r="D3" s="170">
        <f>'отчет о прибылях и убытках'!C16</f>
        <v>-4380.2319655399942</v>
      </c>
      <c r="E3" s="170">
        <f>'отчет о прибылях и убытках'!D16</f>
        <v>16875.442372596521</v>
      </c>
      <c r="F3" s="170">
        <f>'отчет о прибылях и убытках'!E16</f>
        <v>29168.633771000517</v>
      </c>
      <c r="G3" s="170">
        <f>'отчет о прибылях и убытках'!F16</f>
        <v>42520.264767945555</v>
      </c>
      <c r="H3" s="170">
        <f>'отчет о прибылях и убытках'!G16</f>
        <v>43507.248579523337</v>
      </c>
      <c r="I3" s="170">
        <f>'отчет о прибылях и убытках'!H16</f>
        <v>45521.717052661857</v>
      </c>
      <c r="J3" s="170">
        <f>'отчет о прибылях и убытках'!I16</f>
        <v>47981.300736414836</v>
      </c>
      <c r="K3" s="170">
        <f>'отчет о прибылях и убытках'!J16</f>
        <v>49886.266813428272</v>
      </c>
    </row>
    <row r="4" spans="1:11">
      <c r="B4" s="11"/>
      <c r="C4" s="11"/>
      <c r="D4" s="11"/>
      <c r="E4" s="11"/>
      <c r="F4" s="11"/>
    </row>
    <row r="5" spans="1:11">
      <c r="B5" s="11" t="s">
        <v>185</v>
      </c>
      <c r="C5" s="193">
        <f>ОДД!C13</f>
        <v>98000</v>
      </c>
      <c r="D5" s="193">
        <f>C5-ОДД!D14</f>
        <v>89048.453333333338</v>
      </c>
      <c r="E5" s="193">
        <f>D5-ОДД!E14</f>
        <v>80096.906666666677</v>
      </c>
      <c r="F5" s="193">
        <f>E5-ОДД!F14</f>
        <v>71145.360000000015</v>
      </c>
      <c r="G5" s="193">
        <f>F5-ОДД!G14</f>
        <v>62193.813333333354</v>
      </c>
      <c r="H5" s="193">
        <f>G5-ОДД!H14</f>
        <v>53242.266666666692</v>
      </c>
      <c r="I5" s="193">
        <f>H5-ОДД!I14</f>
        <v>44290.72000000003</v>
      </c>
      <c r="J5" s="193">
        <f>I5-ОДД!J14</f>
        <v>35339.173333333369</v>
      </c>
      <c r="K5" s="193">
        <f>J5-ОДД!K14</f>
        <v>26387.626666666703</v>
      </c>
    </row>
    <row r="6" spans="1:11">
      <c r="B6" s="11" t="s">
        <v>186</v>
      </c>
      <c r="C6" s="193">
        <f>ОДД!C18</f>
        <v>21572.48586666667</v>
      </c>
      <c r="D6" s="193">
        <f>ОДД!D18</f>
        <v>32443.848567793339</v>
      </c>
      <c r="E6" s="193">
        <f>ОДД!E18</f>
        <v>64617.687527056522</v>
      </c>
      <c r="F6" s="193">
        <f>ОДД!F18</f>
        <v>109133.39188152371</v>
      </c>
      <c r="G6" s="193">
        <f>ОДД!G18</f>
        <v>167051.34818960793</v>
      </c>
      <c r="H6" s="193">
        <f>ОДД!H18</f>
        <v>225993.93410420883</v>
      </c>
      <c r="I6" s="193">
        <f>ОДД!I18</f>
        <v>286960.74011868465</v>
      </c>
      <c r="J6" s="193">
        <f>ОДД!J18</f>
        <v>350444.07150871935</v>
      </c>
      <c r="K6" s="193">
        <f>ОДД!K18</f>
        <v>415891.58833524561</v>
      </c>
    </row>
    <row r="7" spans="1:11">
      <c r="B7" s="11"/>
      <c r="C7" s="11"/>
      <c r="D7" s="11"/>
      <c r="E7" s="11"/>
      <c r="F7" s="11"/>
    </row>
    <row r="8" spans="1:11" ht="16" thickBot="1">
      <c r="B8" s="11"/>
      <c r="C8" s="11"/>
      <c r="D8" s="11"/>
      <c r="E8" s="11"/>
      <c r="F8" s="11"/>
    </row>
    <row r="9" spans="1:11" ht="21" thickTop="1" thickBot="1">
      <c r="A9" s="226" t="s">
        <v>202</v>
      </c>
      <c r="B9" s="226" t="s">
        <v>71</v>
      </c>
      <c r="C9" s="154" t="s">
        <v>69</v>
      </c>
      <c r="D9" s="154" t="s">
        <v>191</v>
      </c>
      <c r="E9" s="154" t="s">
        <v>192</v>
      </c>
      <c r="F9" s="154" t="s">
        <v>168</v>
      </c>
      <c r="G9" s="154" t="s">
        <v>169</v>
      </c>
      <c r="H9" s="154" t="s">
        <v>170</v>
      </c>
      <c r="I9" s="154" t="s">
        <v>193</v>
      </c>
      <c r="J9" s="154" t="s">
        <v>171</v>
      </c>
      <c r="K9" s="154" t="s">
        <v>172</v>
      </c>
    </row>
    <row r="10" spans="1:11" ht="21" thickTop="1" thickBot="1">
      <c r="A10" s="227">
        <v>1</v>
      </c>
      <c r="B10" s="228" t="s">
        <v>101</v>
      </c>
      <c r="C10" s="229">
        <f>'отчет о прибылях и убытках'!B6/'отчет о прибылях и убытках'!B2*100</f>
        <v>30.306470588235296</v>
      </c>
      <c r="D10" s="229">
        <f>'отчет о прибылях и убытках'!C6/'отчет о прибылях и убытках'!C2*100</f>
        <v>33.860451474201476</v>
      </c>
      <c r="E10" s="229">
        <f>'отчет о прибылях и убытках'!D6/'отчет о прибылях и убытках'!D2*100</f>
        <v>37.500778320963612</v>
      </c>
      <c r="F10" s="229">
        <f>'отчет о прибылях и убытках'!E6/'отчет о прибылях и убытках'!E2*100</f>
        <v>39.61667848702983</v>
      </c>
      <c r="G10" s="229">
        <f>'отчет о прибылях и убытках'!F6/'отчет о прибылях и убытках'!F2*100</f>
        <v>41.068754711373209</v>
      </c>
      <c r="H10" s="229">
        <f>'отчет о прибылях и убытках'!G6/'отчет о прибылях и убытках'!G2*100</f>
        <v>40.850906442905412</v>
      </c>
      <c r="I10" s="229">
        <f>'отчет о прибылях и убытках'!H6/'отчет о прибылях и убытках'!H2*100</f>
        <v>40.627402498237018</v>
      </c>
      <c r="J10" s="229">
        <f>'отчет о прибылях и убытках'!I6/'отчет о прибылях и убытках'!I2*100</f>
        <v>40.490458120827391</v>
      </c>
      <c r="K10" s="229">
        <f>'отчет о прибылях и убытках'!J6/'отчет о прибылях и убытках'!J2*100</f>
        <v>40.25679602333642</v>
      </c>
    </row>
    <row r="11" spans="1:11" ht="40" thickTop="1" thickBot="1">
      <c r="A11" s="227">
        <v>2</v>
      </c>
      <c r="B11" s="228" t="s">
        <v>102</v>
      </c>
      <c r="C11" s="229">
        <f>'отчет о прибылях и убытках'!B14/'отчет о прибылях и убытках'!B2*100</f>
        <v>-95.442119999999989</v>
      </c>
      <c r="D11" s="229">
        <f>'отчет о прибылях и убытках'!C14/'отчет о прибылях и убытках'!C2*100</f>
        <v>-4.9951529386773057</v>
      </c>
      <c r="E11" s="229">
        <f>'отчет о прибылях и убытках'!D14/'отчет о прибылях и убытках'!D2*100</f>
        <v>19.588905107045353</v>
      </c>
      <c r="F11" s="229">
        <f>'отчет о прибылях и убытках'!E14/'отчет о прибылях и убытках'!E2*100</f>
        <v>25.45950123433029</v>
      </c>
      <c r="G11" s="229">
        <f>'отчет о прибылях и убытках'!F14/'отчет о прибылях и убытках'!F2*100</f>
        <v>29.428138348778976</v>
      </c>
      <c r="H11" s="229">
        <f>'отчет о прибылях и убытках'!G14/'отчет о прибылях и убытках'!G2*100</f>
        <v>29.268695967502968</v>
      </c>
      <c r="I11" s="229">
        <f>'отчет о прибылях и убытках'!H14/'отчет о прибылях и убытках'!H2*100</f>
        <v>29.316164253826088</v>
      </c>
      <c r="J11" s="229">
        <f>'отчет о прибылях и убытках'!I14/'отчет о прибылях и убытках'!I2*100</f>
        <v>29.386994344266782</v>
      </c>
      <c r="K11" s="229">
        <f>'отчет о прибылях и убытках'!J14/'отчет о прибылях и убытках'!J2*100</f>
        <v>29.274394247459373</v>
      </c>
    </row>
    <row r="12" spans="1:11" ht="21" thickTop="1" thickBot="1">
      <c r="A12" s="227">
        <v>3</v>
      </c>
      <c r="B12" s="228" t="s">
        <v>103</v>
      </c>
      <c r="C12" s="229">
        <f>'отчет о прибылях и убытках'!B16/'отчет о прибылях и убытках'!B2*100</f>
        <v>-96.442119999999989</v>
      </c>
      <c r="D12" s="229">
        <f>'отчет о прибылях и убытках'!C16/'отчет о прибылях и убытках'!C2*100</f>
        <v>-5.6053336987356603</v>
      </c>
      <c r="E12" s="229">
        <f>'отчет о прибылях и убытках'!D16/'отчет о прибылях и убытках'!D2*100</f>
        <v>15.679358210840746</v>
      </c>
      <c r="F12" s="229">
        <f>'отчет о прибылях и убытках'!E16/'отчет о прибылях и убытках'!E2*100</f>
        <v>20.904025097672672</v>
      </c>
      <c r="G12" s="229">
        <f>'отчет о прибылях и убытках'!F16/'отчет о прибылях и убытках'!F2*100</f>
        <v>24.433723145264814</v>
      </c>
      <c r="H12" s="229">
        <f>'отчет о прибылях и убытках'!G16/'отчет о прибылях и убытках'!G2*100</f>
        <v>24.039308361053401</v>
      </c>
      <c r="I12" s="229">
        <f>'отчет о прибылях и убытках'!H16/'отчет о прибылях и убытках'!H2*100</f>
        <v>24.18497511868981</v>
      </c>
      <c r="J12" s="229">
        <f>'отчет о прибылях и убытках'!I16/'отчет о прибылях и убытках'!I2*100</f>
        <v>24.344822134578749</v>
      </c>
      <c r="K12" s="229">
        <f>'отчет о прибылях и убытках'!J16/'отчет о прибылях и убытках'!J2*100</f>
        <v>24.337852492921996</v>
      </c>
    </row>
    <row r="13" spans="1:11" ht="21" thickTop="1" thickBot="1">
      <c r="A13" s="227">
        <v>4</v>
      </c>
      <c r="B13" s="228" t="s">
        <v>104</v>
      </c>
      <c r="C13" s="229">
        <f>'отчет о прибылях и убытках'!B16/Исходные!C154</f>
        <v>-0.6595327761854477</v>
      </c>
      <c r="D13" s="229">
        <f>'отчет о прибылях и убытках'!C16/Исходные!D154</f>
        <v>-9.8239012403476184E-2</v>
      </c>
      <c r="E13" s="229">
        <f>'отчет о прибылях и убытках'!D16/Исходные!E154</f>
        <v>0.42768655826133234</v>
      </c>
      <c r="F13" s="229">
        <f>'отчет о прибылях и убытках'!E16/Исходные!F154</f>
        <v>0.8497162266695949</v>
      </c>
      <c r="G13" s="229">
        <f>'отчет о прибылях и убытках'!F16/Исходные!G154</f>
        <v>1.4562981340164587</v>
      </c>
      <c r="H13" s="229">
        <f>'отчет о прибылях и убытках'!G16/Исходные!H154</f>
        <v>1.8065918646122012</v>
      </c>
      <c r="I13" s="229">
        <f>'отчет о прибылях и убытках'!H16/Исходные!I154</f>
        <v>2.3943046444529577</v>
      </c>
      <c r="J13" s="229">
        <f>'отчет о прибылях и убытках'!I16/Исходные!J154</f>
        <v>3.4413699649571337</v>
      </c>
      <c r="K13" s="229" t="e">
        <f>'отчет о прибылях и убытках'!J16/Исходные!#REF!</f>
        <v>#REF!</v>
      </c>
    </row>
    <row r="14" spans="1:11" ht="21" thickTop="1" thickBot="1">
      <c r="A14" s="227">
        <v>5</v>
      </c>
      <c r="B14" s="228" t="s">
        <v>105</v>
      </c>
      <c r="C14" s="229">
        <f>ОДД!C2/(ОДД!C5+ОДД!C8)*100%</f>
        <v>0.52976838021578865</v>
      </c>
      <c r="D14" s="229">
        <f>ОДД!D2/(ОДД!D5+ОДД!D8)*100%</f>
        <v>1.0589313177554973</v>
      </c>
      <c r="E14" s="229">
        <f>ОДД!E2/(ОДД!E5+ОДД!E8)*100%</f>
        <v>1.3735178690238492</v>
      </c>
      <c r="F14" s="229">
        <f>ОДД!F2/(ОДД!F5+ОДД!F8)*100%</f>
        <v>1.4551125287342626</v>
      </c>
      <c r="G14" s="229">
        <f>ОДД!G2/(ОДД!G5+ОДД!G8)*100%</f>
        <v>1.5163555721633413</v>
      </c>
      <c r="H14" s="229">
        <f>ОДД!H2/(ОДД!H5+ОДД!H8)*100%</f>
        <v>1.5075515910594879</v>
      </c>
      <c r="I14" s="229">
        <f>ОДД!I2/(ОДД!I5+ОДД!I8)*100%</f>
        <v>1.5033693571760762</v>
      </c>
      <c r="J14" s="229">
        <f>ОДД!J2/(ОДД!J5+ОДД!J8)*100%</f>
        <v>1.4998824207793344</v>
      </c>
      <c r="K14" s="229">
        <f>ОДД!K2/(ОДД!K5+ОДД!K8)*100%</f>
        <v>1.4931282330467959</v>
      </c>
    </row>
    <row r="15" spans="1:11" ht="21" thickTop="1" thickBot="1">
      <c r="A15" s="227">
        <v>6</v>
      </c>
      <c r="B15" s="228" t="s">
        <v>106</v>
      </c>
      <c r="C15" s="229">
        <f>('отчет о прибылях и убытках'!B2/'отчет о прибылях и убытках'!B16)*100%</f>
        <v>-1.0368913499620291</v>
      </c>
      <c r="D15" s="229">
        <f>('отчет о прибылях и убытках'!C2/'отчет о прибылях и убытках'!C16)*100%</f>
        <v>-17.840151072996068</v>
      </c>
      <c r="E15" s="229">
        <f>('отчет о прибылях и убытках'!D2/'отчет о прибылях и убытках'!D16)*100%</f>
        <v>6.3778120670053804</v>
      </c>
      <c r="F15" s="229">
        <f>('отчет о прибылях и убытках'!E2/'отчет о прибылях и убытках'!E16)*100%</f>
        <v>4.7837676970227809</v>
      </c>
      <c r="G15" s="229">
        <f>('отчет о прибылях и убытках'!F2/'отчет о прибылях и убытках'!F16)*100%</f>
        <v>4.0927041452288746</v>
      </c>
      <c r="H15" s="229">
        <f>('отчет о прибылях и убытках'!G2/'отчет о прибылях и убытках'!G16)*100%</f>
        <v>4.1598534574319181</v>
      </c>
      <c r="I15" s="229">
        <f>('отчет о прибылях и убытках'!H2/'отчет о прибылях и убытках'!H16)*100%</f>
        <v>4.1347985478273825</v>
      </c>
      <c r="J15" s="229">
        <f>('отчет о прибылях и убытках'!I2/'отчет о прибылях и убытках'!I16)*100%</f>
        <v>4.1076496450537876</v>
      </c>
      <c r="K15" s="229">
        <f>('отчет о прибылях и убытках'!J2/'отчет о прибылях и убытках'!J16)*100%</f>
        <v>4.1088259545118984</v>
      </c>
    </row>
    <row r="16" spans="1:11" ht="16" thickTop="1">
      <c r="A16" s="110"/>
    </row>
  </sheetData>
  <phoneticPr fontId="41" type="noConversion"/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2"/>
  <dimension ref="A1:DO45"/>
  <sheetViews>
    <sheetView topLeftCell="C34" zoomScaleNormal="100" zoomScalePageLayoutView="78" workbookViewId="0">
      <selection activeCell="C39" sqref="C39:K39"/>
    </sheetView>
  </sheetViews>
  <sheetFormatPr baseColWidth="10" defaultColWidth="8.83203125" defaultRowHeight="15" outlineLevelCol="2"/>
  <cols>
    <col min="1" max="1" width="36.5" customWidth="1"/>
    <col min="2" max="2" width="27" customWidth="1"/>
    <col min="3" max="4" width="17" customWidth="1" outlineLevel="1"/>
    <col min="5" max="5" width="16.33203125" style="19" customWidth="1" outlineLevel="1"/>
    <col min="6" max="6" width="15.83203125" style="19" customWidth="1" outlineLevel="1"/>
    <col min="7" max="7" width="16" style="19" customWidth="1" outlineLevel="1"/>
    <col min="8" max="8" width="14.83203125" style="19" customWidth="1" outlineLevel="1"/>
    <col min="9" max="9" width="13.5" style="19" customWidth="1" outlineLevel="1"/>
    <col min="10" max="14" width="13.5" customWidth="1" outlineLevel="1"/>
    <col min="15" max="15" width="16.6640625" bestFit="1" customWidth="1"/>
    <col min="16" max="18" width="14.83203125" customWidth="1" outlineLevel="1"/>
    <col min="19" max="19" width="14.83203125" style="19" customWidth="1" outlineLevel="1"/>
    <col min="20" max="20" width="15.5" style="19" customWidth="1" outlineLevel="1"/>
    <col min="21" max="27" width="14.83203125" style="19" customWidth="1" outlineLevel="1"/>
    <col min="28" max="28" width="15.6640625" style="19" bestFit="1" customWidth="1"/>
    <col min="29" max="40" width="14.83203125" style="19" customWidth="1" outlineLevel="2"/>
    <col min="41" max="41" width="15.5" style="19" bestFit="1" customWidth="1"/>
    <col min="42" max="45" width="14.83203125" style="19" customWidth="1" outlineLevel="1"/>
    <col min="46" max="46" width="15.5" style="19" customWidth="1" outlineLevel="1"/>
    <col min="47" max="47" width="14.83203125" style="19" customWidth="1" outlineLevel="1"/>
    <col min="48" max="49" width="12.6640625" customWidth="1" outlineLevel="1"/>
    <col min="50" max="53" width="14.1640625" customWidth="1" outlineLevel="1"/>
    <col min="54" max="54" width="15.5" bestFit="1" customWidth="1"/>
  </cols>
  <sheetData>
    <row r="1" spans="1:119" ht="17" thickBot="1">
      <c r="A1" s="409" t="s">
        <v>21</v>
      </c>
      <c r="B1" s="409"/>
      <c r="C1" s="409"/>
    </row>
    <row r="2" spans="1:119" ht="18" thickTop="1" thickBot="1">
      <c r="A2" s="24"/>
      <c r="B2" s="3"/>
      <c r="C2" s="36">
        <v>44197</v>
      </c>
      <c r="D2" s="36">
        <v>44228</v>
      </c>
      <c r="E2" s="36">
        <v>44256</v>
      </c>
      <c r="F2" s="36">
        <v>44287</v>
      </c>
      <c r="G2" s="36">
        <v>44317</v>
      </c>
      <c r="H2" s="36">
        <v>44348</v>
      </c>
      <c r="I2" s="36">
        <v>44378</v>
      </c>
      <c r="J2" s="36">
        <v>44409</v>
      </c>
      <c r="K2" s="36">
        <v>44440</v>
      </c>
      <c r="L2" s="36">
        <v>44470</v>
      </c>
      <c r="M2" s="36">
        <v>44501</v>
      </c>
      <c r="N2" s="36">
        <v>44531</v>
      </c>
      <c r="O2" s="37" t="s">
        <v>518</v>
      </c>
      <c r="P2" s="36">
        <v>44562</v>
      </c>
      <c r="Q2" s="36">
        <v>44593</v>
      </c>
      <c r="R2" s="36">
        <v>44621</v>
      </c>
      <c r="S2" s="36">
        <v>44652</v>
      </c>
      <c r="T2" s="36">
        <v>44682</v>
      </c>
      <c r="U2" s="36">
        <v>44713</v>
      </c>
      <c r="V2" s="36">
        <v>44743</v>
      </c>
      <c r="W2" s="36">
        <v>44774</v>
      </c>
      <c r="X2" s="36">
        <v>44805</v>
      </c>
      <c r="Y2" s="36">
        <v>44835</v>
      </c>
      <c r="Z2" s="36">
        <v>44866</v>
      </c>
      <c r="AA2" s="36">
        <v>44896</v>
      </c>
      <c r="AB2" s="37" t="s">
        <v>45</v>
      </c>
      <c r="AC2" s="36">
        <v>44927</v>
      </c>
      <c r="AD2" s="36">
        <v>44958</v>
      </c>
      <c r="AE2" s="36">
        <v>44986</v>
      </c>
      <c r="AF2" s="36">
        <v>45017</v>
      </c>
      <c r="AG2" s="36">
        <v>45047</v>
      </c>
      <c r="AH2" s="36">
        <v>45078</v>
      </c>
      <c r="AI2" s="36">
        <v>45108</v>
      </c>
      <c r="AJ2" s="36">
        <v>45139</v>
      </c>
      <c r="AK2" s="36">
        <v>45170</v>
      </c>
      <c r="AL2" s="36">
        <v>45200</v>
      </c>
      <c r="AM2" s="36">
        <v>45231</v>
      </c>
      <c r="AN2" s="36">
        <v>45261</v>
      </c>
      <c r="AO2" s="37" t="s">
        <v>63</v>
      </c>
      <c r="AP2" s="36">
        <v>45292</v>
      </c>
      <c r="AQ2" s="36">
        <v>45323</v>
      </c>
      <c r="AR2" s="36">
        <v>45352</v>
      </c>
      <c r="AS2" s="36">
        <v>45383</v>
      </c>
      <c r="AT2" s="36">
        <v>45413</v>
      </c>
      <c r="AU2" s="36">
        <v>45444</v>
      </c>
      <c r="AV2" s="36">
        <v>45474</v>
      </c>
      <c r="AW2" s="36">
        <v>45505</v>
      </c>
      <c r="AX2" s="36">
        <v>45536</v>
      </c>
      <c r="AY2" s="36">
        <v>45566</v>
      </c>
      <c r="AZ2" s="36">
        <v>45597</v>
      </c>
      <c r="BA2" s="36">
        <v>45627</v>
      </c>
      <c r="BB2" s="171" t="s">
        <v>179</v>
      </c>
      <c r="BC2" s="179">
        <v>45658</v>
      </c>
      <c r="BD2" s="179">
        <v>45689</v>
      </c>
      <c r="BE2" s="179">
        <v>45717</v>
      </c>
      <c r="BF2" s="179">
        <v>45748</v>
      </c>
      <c r="BG2" s="179">
        <v>45778</v>
      </c>
      <c r="BH2" s="179">
        <v>45809</v>
      </c>
      <c r="BI2" s="179">
        <v>45839</v>
      </c>
      <c r="BJ2" s="179">
        <v>45870</v>
      </c>
      <c r="BK2" s="179">
        <v>45901</v>
      </c>
      <c r="BL2" s="179">
        <v>45931</v>
      </c>
      <c r="BM2" s="179">
        <v>45962</v>
      </c>
      <c r="BN2" s="179">
        <v>45992</v>
      </c>
      <c r="BO2" s="180" t="s">
        <v>180</v>
      </c>
      <c r="BP2" s="179">
        <v>46023</v>
      </c>
      <c r="BQ2" s="179">
        <v>46054</v>
      </c>
      <c r="BR2" s="179">
        <v>46082</v>
      </c>
      <c r="BS2" s="179">
        <v>46113</v>
      </c>
      <c r="BT2" s="179">
        <v>46143</v>
      </c>
      <c r="BU2" s="179">
        <v>46174</v>
      </c>
      <c r="BV2" s="179">
        <v>46204</v>
      </c>
      <c r="BW2" s="179">
        <v>46235</v>
      </c>
      <c r="BX2" s="179">
        <v>46266</v>
      </c>
      <c r="BY2" s="179">
        <v>46296</v>
      </c>
      <c r="BZ2" s="179">
        <v>46327</v>
      </c>
      <c r="CA2" s="179">
        <v>46357</v>
      </c>
      <c r="CB2" s="180" t="s">
        <v>181</v>
      </c>
      <c r="CC2" s="179">
        <v>46388</v>
      </c>
      <c r="CD2" s="179">
        <v>46419</v>
      </c>
      <c r="CE2" s="179">
        <v>46447</v>
      </c>
      <c r="CF2" s="179">
        <v>46478</v>
      </c>
      <c r="CG2" s="179">
        <v>46508</v>
      </c>
      <c r="CH2" s="179">
        <v>46539</v>
      </c>
      <c r="CI2" s="179">
        <v>46569</v>
      </c>
      <c r="CJ2" s="179">
        <v>46600</v>
      </c>
      <c r="CK2" s="179">
        <v>46631</v>
      </c>
      <c r="CL2" s="179">
        <v>46661</v>
      </c>
      <c r="CM2" s="179">
        <v>46692</v>
      </c>
      <c r="CN2" s="179">
        <v>46722</v>
      </c>
      <c r="CO2" s="180" t="s">
        <v>183</v>
      </c>
      <c r="CP2" s="179">
        <v>46753</v>
      </c>
      <c r="CQ2" s="179">
        <v>46784</v>
      </c>
      <c r="CR2" s="179">
        <v>46813</v>
      </c>
      <c r="CS2" s="179">
        <v>46844</v>
      </c>
      <c r="CT2" s="179">
        <v>46874</v>
      </c>
      <c r="CU2" s="179">
        <v>46905</v>
      </c>
      <c r="CV2" s="179">
        <v>46935</v>
      </c>
      <c r="CW2" s="179">
        <v>46966</v>
      </c>
      <c r="CX2" s="179">
        <v>46997</v>
      </c>
      <c r="CY2" s="179">
        <v>47027</v>
      </c>
      <c r="CZ2" s="179">
        <v>47058</v>
      </c>
      <c r="DA2" s="179">
        <v>47088</v>
      </c>
      <c r="DB2" s="180" t="s">
        <v>182</v>
      </c>
      <c r="DC2" s="179">
        <v>47119</v>
      </c>
      <c r="DD2" s="179">
        <v>47150</v>
      </c>
      <c r="DE2" s="179">
        <v>47178</v>
      </c>
      <c r="DF2" s="179">
        <v>47209</v>
      </c>
      <c r="DG2" s="179">
        <v>47239</v>
      </c>
      <c r="DH2" s="179">
        <v>47270</v>
      </c>
      <c r="DI2" s="179">
        <v>47300</v>
      </c>
      <c r="DJ2" s="179">
        <v>47331</v>
      </c>
      <c r="DK2" s="179">
        <v>47362</v>
      </c>
      <c r="DL2" s="179">
        <v>47392</v>
      </c>
      <c r="DM2" s="179">
        <v>47423</v>
      </c>
      <c r="DN2" s="179">
        <v>47453</v>
      </c>
      <c r="DO2" s="180" t="s">
        <v>184</v>
      </c>
    </row>
    <row r="3" spans="1:119" ht="19" thickTop="1" thickBot="1">
      <c r="A3" s="24"/>
      <c r="B3" s="25" t="s">
        <v>36</v>
      </c>
      <c r="D3" s="26">
        <v>0</v>
      </c>
      <c r="E3" s="26">
        <v>0</v>
      </c>
      <c r="F3" s="26">
        <v>0</v>
      </c>
      <c r="G3" s="26">
        <v>0</v>
      </c>
      <c r="H3" s="26">
        <f>O3/6</f>
        <v>5666.666666666667</v>
      </c>
      <c r="I3" s="26">
        <f>H3</f>
        <v>5666.666666666667</v>
      </c>
      <c r="J3" s="26">
        <f>I3</f>
        <v>5666.666666666667</v>
      </c>
      <c r="K3" s="23">
        <f>J3</f>
        <v>5666.666666666667</v>
      </c>
      <c r="L3" s="23">
        <f>K3</f>
        <v>5666.666666666667</v>
      </c>
      <c r="M3" s="26">
        <f>H3</f>
        <v>5666.666666666667</v>
      </c>
      <c r="N3" s="26">
        <f>M3</f>
        <v>5666.666666666667</v>
      </c>
      <c r="O3" s="26">
        <f>ОДД!C2</f>
        <v>34000</v>
      </c>
      <c r="P3" s="26">
        <f>AB3/12</f>
        <v>6512</v>
      </c>
      <c r="Q3" s="26">
        <f>P3</f>
        <v>6512</v>
      </c>
      <c r="R3" s="26">
        <f t="shared" ref="R3:AA3" si="0">Q3</f>
        <v>6512</v>
      </c>
      <c r="S3" s="26">
        <f t="shared" si="0"/>
        <v>6512</v>
      </c>
      <c r="T3" s="26">
        <f t="shared" si="0"/>
        <v>6512</v>
      </c>
      <c r="U3" s="26">
        <f t="shared" si="0"/>
        <v>6512</v>
      </c>
      <c r="V3" s="26">
        <f t="shared" si="0"/>
        <v>6512</v>
      </c>
      <c r="W3" s="26">
        <f t="shared" si="0"/>
        <v>6512</v>
      </c>
      <c r="X3" s="26">
        <f t="shared" si="0"/>
        <v>6512</v>
      </c>
      <c r="Y3" s="26">
        <f t="shared" si="0"/>
        <v>6512</v>
      </c>
      <c r="Z3" s="26">
        <f t="shared" si="0"/>
        <v>6512</v>
      </c>
      <c r="AA3" s="26">
        <f t="shared" si="0"/>
        <v>6512</v>
      </c>
      <c r="AB3" s="26">
        <f>ОДД!D2</f>
        <v>78144</v>
      </c>
      <c r="AC3" s="26">
        <f>AO3/12</f>
        <v>8969.0333333333328</v>
      </c>
      <c r="AD3" s="26">
        <f>AC3</f>
        <v>8969.0333333333328</v>
      </c>
      <c r="AE3" s="26">
        <f t="shared" ref="AE3:AN3" si="1">AD3</f>
        <v>8969.0333333333328</v>
      </c>
      <c r="AF3" s="26">
        <f t="shared" si="1"/>
        <v>8969.0333333333328</v>
      </c>
      <c r="AG3" s="26">
        <f t="shared" si="1"/>
        <v>8969.0333333333328</v>
      </c>
      <c r="AH3" s="26">
        <f t="shared" si="1"/>
        <v>8969.0333333333328</v>
      </c>
      <c r="AI3" s="26">
        <f t="shared" si="1"/>
        <v>8969.0333333333328</v>
      </c>
      <c r="AJ3" s="26">
        <f t="shared" si="1"/>
        <v>8969.0333333333328</v>
      </c>
      <c r="AK3" s="26">
        <f t="shared" si="1"/>
        <v>8969.0333333333328</v>
      </c>
      <c r="AL3" s="26">
        <f t="shared" si="1"/>
        <v>8969.0333333333328</v>
      </c>
      <c r="AM3" s="26">
        <f t="shared" si="1"/>
        <v>8969.0333333333328</v>
      </c>
      <c r="AN3" s="26">
        <f t="shared" si="1"/>
        <v>8969.0333333333328</v>
      </c>
      <c r="AO3" s="26">
        <f>ОДД!E2</f>
        <v>107628.4</v>
      </c>
      <c r="AP3" s="26">
        <f>BB3/12</f>
        <v>11627.997333333338</v>
      </c>
      <c r="AQ3" s="26">
        <f>AP3</f>
        <v>11627.997333333338</v>
      </c>
      <c r="AR3" s="26">
        <f t="shared" ref="AR3:BA3" si="2">AQ3</f>
        <v>11627.997333333338</v>
      </c>
      <c r="AS3" s="26">
        <f t="shared" si="2"/>
        <v>11627.997333333338</v>
      </c>
      <c r="AT3" s="26">
        <f t="shared" si="2"/>
        <v>11627.997333333338</v>
      </c>
      <c r="AU3" s="26">
        <f t="shared" si="2"/>
        <v>11627.997333333338</v>
      </c>
      <c r="AV3" s="26">
        <f t="shared" si="2"/>
        <v>11627.997333333338</v>
      </c>
      <c r="AW3" s="26">
        <f t="shared" si="2"/>
        <v>11627.997333333338</v>
      </c>
      <c r="AX3" s="26">
        <f t="shared" si="2"/>
        <v>11627.997333333338</v>
      </c>
      <c r="AY3" s="26">
        <f t="shared" si="2"/>
        <v>11627.997333333338</v>
      </c>
      <c r="AZ3" s="26">
        <f t="shared" si="2"/>
        <v>11627.997333333338</v>
      </c>
      <c r="BA3" s="26">
        <f t="shared" si="2"/>
        <v>11627.997333333338</v>
      </c>
      <c r="BB3" s="172">
        <f>ОДД!F2</f>
        <v>139535.96800000005</v>
      </c>
      <c r="BC3" s="181">
        <f>$BO$3/12</f>
        <v>14501.905322666671</v>
      </c>
      <c r="BD3" s="181">
        <f t="shared" ref="BD3:BN3" si="3">$BO$3/12</f>
        <v>14501.905322666671</v>
      </c>
      <c r="BE3" s="181">
        <f t="shared" si="3"/>
        <v>14501.905322666671</v>
      </c>
      <c r="BF3" s="181">
        <f t="shared" si="3"/>
        <v>14501.905322666671</v>
      </c>
      <c r="BG3" s="181">
        <f t="shared" si="3"/>
        <v>14501.905322666671</v>
      </c>
      <c r="BH3" s="181">
        <f t="shared" si="3"/>
        <v>14501.905322666671</v>
      </c>
      <c r="BI3" s="181">
        <f t="shared" si="3"/>
        <v>14501.905322666671</v>
      </c>
      <c r="BJ3" s="181">
        <f t="shared" si="3"/>
        <v>14501.905322666671</v>
      </c>
      <c r="BK3" s="181">
        <f t="shared" si="3"/>
        <v>14501.905322666671</v>
      </c>
      <c r="BL3" s="181">
        <f t="shared" si="3"/>
        <v>14501.905322666671</v>
      </c>
      <c r="BM3" s="181">
        <f t="shared" si="3"/>
        <v>14501.905322666671</v>
      </c>
      <c r="BN3" s="181">
        <f t="shared" si="3"/>
        <v>14501.905322666671</v>
      </c>
      <c r="BO3" s="182">
        <f>ОДД!$G$2</f>
        <v>174022.86387200005</v>
      </c>
      <c r="BP3" s="181">
        <f>CB3/12</f>
        <v>15081.981535573337</v>
      </c>
      <c r="BQ3" s="181">
        <f t="shared" ref="BQ3:CA3" si="4">$BO$3/12</f>
        <v>14501.905322666671</v>
      </c>
      <c r="BR3" s="181">
        <f t="shared" si="4"/>
        <v>14501.905322666671</v>
      </c>
      <c r="BS3" s="181">
        <f t="shared" si="4"/>
        <v>14501.905322666671</v>
      </c>
      <c r="BT3" s="181">
        <f t="shared" si="4"/>
        <v>14501.905322666671</v>
      </c>
      <c r="BU3" s="181">
        <f t="shared" si="4"/>
        <v>14501.905322666671</v>
      </c>
      <c r="BV3" s="181">
        <f t="shared" si="4"/>
        <v>14501.905322666671</v>
      </c>
      <c r="BW3" s="181">
        <f t="shared" si="4"/>
        <v>14501.905322666671</v>
      </c>
      <c r="BX3" s="181">
        <f t="shared" si="4"/>
        <v>14501.905322666671</v>
      </c>
      <c r="BY3" s="181">
        <f t="shared" si="4"/>
        <v>14501.905322666671</v>
      </c>
      <c r="BZ3" s="181">
        <f t="shared" si="4"/>
        <v>14501.905322666671</v>
      </c>
      <c r="CA3" s="181">
        <f t="shared" si="4"/>
        <v>14501.905322666671</v>
      </c>
      <c r="CB3" s="182">
        <f>ОДД!H2</f>
        <v>180983.77842688005</v>
      </c>
      <c r="CC3" s="181">
        <f>$BO$3/12</f>
        <v>14501.905322666671</v>
      </c>
      <c r="CD3" s="181">
        <f t="shared" ref="CD3:CN3" si="5">$BO$3/12</f>
        <v>14501.905322666671</v>
      </c>
      <c r="CE3" s="181">
        <f t="shared" si="5"/>
        <v>14501.905322666671</v>
      </c>
      <c r="CF3" s="181">
        <f t="shared" si="5"/>
        <v>14501.905322666671</v>
      </c>
      <c r="CG3" s="181">
        <f t="shared" si="5"/>
        <v>14501.905322666671</v>
      </c>
      <c r="CH3" s="181">
        <f t="shared" si="5"/>
        <v>14501.905322666671</v>
      </c>
      <c r="CI3" s="181">
        <f t="shared" si="5"/>
        <v>14501.905322666671</v>
      </c>
      <c r="CJ3" s="181">
        <f t="shared" si="5"/>
        <v>14501.905322666671</v>
      </c>
      <c r="CK3" s="181">
        <f t="shared" si="5"/>
        <v>14501.905322666671</v>
      </c>
      <c r="CL3" s="181">
        <f t="shared" si="5"/>
        <v>14501.905322666671</v>
      </c>
      <c r="CM3" s="181">
        <f t="shared" si="5"/>
        <v>14501.905322666671</v>
      </c>
      <c r="CN3" s="181">
        <f t="shared" si="5"/>
        <v>14501.905322666671</v>
      </c>
      <c r="CO3" s="182">
        <f>ОДД!I2</f>
        <v>188223.12956395524</v>
      </c>
      <c r="CP3" s="181">
        <f>$BO$3/12</f>
        <v>14501.905322666671</v>
      </c>
      <c r="CQ3" s="181">
        <f t="shared" ref="CQ3:DA3" si="6">$BO$3/12</f>
        <v>14501.905322666671</v>
      </c>
      <c r="CR3" s="181">
        <f t="shared" si="6"/>
        <v>14501.905322666671</v>
      </c>
      <c r="CS3" s="181">
        <f t="shared" si="6"/>
        <v>14501.905322666671</v>
      </c>
      <c r="CT3" s="181">
        <f t="shared" si="6"/>
        <v>14501.905322666671</v>
      </c>
      <c r="CU3" s="181">
        <f t="shared" si="6"/>
        <v>14501.905322666671</v>
      </c>
      <c r="CV3" s="181">
        <f t="shared" si="6"/>
        <v>14501.905322666671</v>
      </c>
      <c r="CW3" s="181">
        <f t="shared" si="6"/>
        <v>14501.905322666671</v>
      </c>
      <c r="CX3" s="181">
        <f t="shared" si="6"/>
        <v>14501.905322666671</v>
      </c>
      <c r="CY3" s="181">
        <f t="shared" si="6"/>
        <v>14501.905322666671</v>
      </c>
      <c r="CZ3" s="181">
        <f t="shared" si="6"/>
        <v>14501.905322666671</v>
      </c>
      <c r="DA3" s="181">
        <f t="shared" si="6"/>
        <v>14501.905322666671</v>
      </c>
      <c r="DB3" s="182">
        <f>ОДД!J2</f>
        <v>197090.37293915346</v>
      </c>
      <c r="DC3" s="181">
        <f>$BO$3/12</f>
        <v>14501.905322666671</v>
      </c>
      <c r="DD3" s="181">
        <f t="shared" ref="DD3:DN3" si="7">$BO$3/12</f>
        <v>14501.905322666671</v>
      </c>
      <c r="DE3" s="181">
        <f t="shared" si="7"/>
        <v>14501.905322666671</v>
      </c>
      <c r="DF3" s="181">
        <f t="shared" si="7"/>
        <v>14501.905322666671</v>
      </c>
      <c r="DG3" s="181">
        <f t="shared" si="7"/>
        <v>14501.905322666671</v>
      </c>
      <c r="DH3" s="181">
        <f t="shared" si="7"/>
        <v>14501.905322666671</v>
      </c>
      <c r="DI3" s="181">
        <f t="shared" si="7"/>
        <v>14501.905322666671</v>
      </c>
      <c r="DJ3" s="181">
        <f t="shared" si="7"/>
        <v>14501.905322666671</v>
      </c>
      <c r="DK3" s="181">
        <f t="shared" si="7"/>
        <v>14501.905322666671</v>
      </c>
      <c r="DL3" s="181">
        <f t="shared" si="7"/>
        <v>14501.905322666671</v>
      </c>
      <c r="DM3" s="181">
        <f t="shared" si="7"/>
        <v>14501.905322666671</v>
      </c>
      <c r="DN3" s="181">
        <f t="shared" si="7"/>
        <v>14501.905322666671</v>
      </c>
      <c r="DO3" s="182">
        <f>ОДД!K2</f>
        <v>204973.98785671964</v>
      </c>
    </row>
    <row r="4" spans="1:119" s="24" customFormat="1" ht="18" thickTop="1" thickBot="1">
      <c r="B4" s="43" t="s">
        <v>88</v>
      </c>
      <c r="C4" s="26"/>
      <c r="D4" s="26">
        <f t="shared" ref="D4:N5" si="8">C4</f>
        <v>0</v>
      </c>
      <c r="E4" s="26">
        <f t="shared" si="8"/>
        <v>0</v>
      </c>
      <c r="F4" s="26">
        <f t="shared" si="8"/>
        <v>0</v>
      </c>
      <c r="G4" s="26">
        <f t="shared" si="8"/>
        <v>0</v>
      </c>
      <c r="H4" s="26">
        <f>O4/6</f>
        <v>3790</v>
      </c>
      <c r="I4" s="26">
        <f t="shared" si="8"/>
        <v>3790</v>
      </c>
      <c r="J4" s="26">
        <f t="shared" si="8"/>
        <v>3790</v>
      </c>
      <c r="K4" s="26">
        <f t="shared" ref="K4" si="9">J4</f>
        <v>3790</v>
      </c>
      <c r="L4" s="26">
        <f t="shared" ref="L4:L5" si="10">K4</f>
        <v>3790</v>
      </c>
      <c r="M4" s="26">
        <f t="shared" ref="M4:M5" si="11">L4</f>
        <v>3790</v>
      </c>
      <c r="N4" s="26">
        <f t="shared" si="8"/>
        <v>3790</v>
      </c>
      <c r="O4" s="26">
        <f>ОДД!C3</f>
        <v>22740</v>
      </c>
      <c r="P4" s="26">
        <f t="shared" ref="P4:P19" si="12">AB4/12</f>
        <v>3300.5499999999997</v>
      </c>
      <c r="Q4" s="26">
        <f t="shared" ref="Q4:AA20" si="13">P4</f>
        <v>3300.5499999999997</v>
      </c>
      <c r="R4" s="26">
        <f t="shared" si="13"/>
        <v>3300.5499999999997</v>
      </c>
      <c r="S4" s="26">
        <f t="shared" si="13"/>
        <v>3300.5499999999997</v>
      </c>
      <c r="T4" s="26">
        <f t="shared" si="13"/>
        <v>3300.5499999999997</v>
      </c>
      <c r="U4" s="26">
        <f t="shared" si="13"/>
        <v>3300.5499999999997</v>
      </c>
      <c r="V4" s="26">
        <f t="shared" si="13"/>
        <v>3300.5499999999997</v>
      </c>
      <c r="W4" s="26">
        <f t="shared" si="13"/>
        <v>3300.5499999999997</v>
      </c>
      <c r="X4" s="26">
        <f t="shared" si="13"/>
        <v>3300.5499999999997</v>
      </c>
      <c r="Y4" s="26">
        <f t="shared" si="13"/>
        <v>3300.5499999999997</v>
      </c>
      <c r="Z4" s="26">
        <f t="shared" si="13"/>
        <v>3300.5499999999997</v>
      </c>
      <c r="AA4" s="26">
        <f t="shared" si="13"/>
        <v>3300.5499999999997</v>
      </c>
      <c r="AB4" s="49">
        <f>ОДД!D3</f>
        <v>39606.6</v>
      </c>
      <c r="AC4" s="26">
        <f t="shared" ref="AC4:AC19" si="14">AO4/12</f>
        <v>4536.7182666666668</v>
      </c>
      <c r="AD4" s="26">
        <f t="shared" ref="AD4:AN4" si="15">AC4</f>
        <v>4536.7182666666668</v>
      </c>
      <c r="AE4" s="26">
        <f t="shared" si="15"/>
        <v>4536.7182666666668</v>
      </c>
      <c r="AF4" s="26">
        <f t="shared" si="15"/>
        <v>4536.7182666666668</v>
      </c>
      <c r="AG4" s="26">
        <f t="shared" si="15"/>
        <v>4536.7182666666668</v>
      </c>
      <c r="AH4" s="26">
        <f t="shared" si="15"/>
        <v>4536.7182666666668</v>
      </c>
      <c r="AI4" s="26">
        <f t="shared" si="15"/>
        <v>4536.7182666666668</v>
      </c>
      <c r="AJ4" s="26">
        <f t="shared" si="15"/>
        <v>4536.7182666666668</v>
      </c>
      <c r="AK4" s="26">
        <f t="shared" si="15"/>
        <v>4536.7182666666668</v>
      </c>
      <c r="AL4" s="26">
        <f t="shared" si="15"/>
        <v>4536.7182666666668</v>
      </c>
      <c r="AM4" s="26">
        <f t="shared" si="15"/>
        <v>4536.7182666666668</v>
      </c>
      <c r="AN4" s="26">
        <f t="shared" si="15"/>
        <v>4536.7182666666668</v>
      </c>
      <c r="AO4" s="49">
        <f>ОДД!E3</f>
        <v>54440.619200000001</v>
      </c>
      <c r="AP4" s="26">
        <f t="shared" ref="AP4:AP19" si="16">BB4/12</f>
        <v>5880.8997866666678</v>
      </c>
      <c r="AQ4" s="26">
        <f t="shared" ref="AQ4:BA4" si="17">AP4</f>
        <v>5880.8997866666678</v>
      </c>
      <c r="AR4" s="26">
        <f t="shared" si="17"/>
        <v>5880.8997866666678</v>
      </c>
      <c r="AS4" s="26">
        <f t="shared" si="17"/>
        <v>5880.8997866666678</v>
      </c>
      <c r="AT4" s="26">
        <f t="shared" si="17"/>
        <v>5880.8997866666678</v>
      </c>
      <c r="AU4" s="26">
        <f t="shared" si="17"/>
        <v>5880.8997866666678</v>
      </c>
      <c r="AV4" s="26">
        <f t="shared" si="17"/>
        <v>5880.8997866666678</v>
      </c>
      <c r="AW4" s="26">
        <f t="shared" si="17"/>
        <v>5880.8997866666678</v>
      </c>
      <c r="AX4" s="26">
        <f t="shared" si="17"/>
        <v>5880.8997866666678</v>
      </c>
      <c r="AY4" s="26">
        <f t="shared" si="17"/>
        <v>5880.8997866666678</v>
      </c>
      <c r="AZ4" s="26">
        <f t="shared" si="17"/>
        <v>5880.8997866666678</v>
      </c>
      <c r="BA4" s="26">
        <f t="shared" si="17"/>
        <v>5880.8997866666678</v>
      </c>
      <c r="BB4" s="173">
        <f>ОДД!F3</f>
        <v>70570.797440000009</v>
      </c>
      <c r="BC4" s="181">
        <f>BO4/12</f>
        <v>7329.2705962666669</v>
      </c>
      <c r="BD4" s="182">
        <f>BC4</f>
        <v>7329.2705962666669</v>
      </c>
      <c r="BE4" s="182">
        <f t="shared" ref="BE4:BN4" si="18">BD4</f>
        <v>7329.2705962666669</v>
      </c>
      <c r="BF4" s="182">
        <f t="shared" si="18"/>
        <v>7329.2705962666669</v>
      </c>
      <c r="BG4" s="182">
        <f t="shared" si="18"/>
        <v>7329.2705962666669</v>
      </c>
      <c r="BH4" s="182">
        <f t="shared" si="18"/>
        <v>7329.2705962666669</v>
      </c>
      <c r="BI4" s="182">
        <f t="shared" si="18"/>
        <v>7329.2705962666669</v>
      </c>
      <c r="BJ4" s="182">
        <f t="shared" si="18"/>
        <v>7329.2705962666669</v>
      </c>
      <c r="BK4" s="182">
        <f t="shared" si="18"/>
        <v>7329.2705962666669</v>
      </c>
      <c r="BL4" s="182">
        <f t="shared" si="18"/>
        <v>7329.2705962666669</v>
      </c>
      <c r="BM4" s="182">
        <f t="shared" si="18"/>
        <v>7329.2705962666669</v>
      </c>
      <c r="BN4" s="182">
        <f t="shared" si="18"/>
        <v>7329.2705962666669</v>
      </c>
      <c r="BO4" s="182">
        <f>ОДД!G3</f>
        <v>87951.247155200006</v>
      </c>
      <c r="BP4" s="181">
        <f t="shared" ref="BP4:BP20" si="19">CB4/12</f>
        <v>7622.4414201173349</v>
      </c>
      <c r="BQ4" s="182">
        <f>BP4</f>
        <v>7622.4414201173349</v>
      </c>
      <c r="BR4" s="182">
        <f t="shared" ref="BR4:CA4" si="20">BQ4</f>
        <v>7622.4414201173349</v>
      </c>
      <c r="BS4" s="182">
        <f t="shared" si="20"/>
        <v>7622.4414201173349</v>
      </c>
      <c r="BT4" s="182">
        <f t="shared" si="20"/>
        <v>7622.4414201173349</v>
      </c>
      <c r="BU4" s="182">
        <f t="shared" si="20"/>
        <v>7622.4414201173349</v>
      </c>
      <c r="BV4" s="182">
        <f t="shared" si="20"/>
        <v>7622.4414201173349</v>
      </c>
      <c r="BW4" s="182">
        <f t="shared" si="20"/>
        <v>7622.4414201173349</v>
      </c>
      <c r="BX4" s="182">
        <f t="shared" si="20"/>
        <v>7622.4414201173349</v>
      </c>
      <c r="BY4" s="182">
        <f t="shared" si="20"/>
        <v>7622.4414201173349</v>
      </c>
      <c r="BZ4" s="182">
        <f t="shared" si="20"/>
        <v>7622.4414201173349</v>
      </c>
      <c r="CA4" s="182">
        <f t="shared" si="20"/>
        <v>7622.4414201173349</v>
      </c>
      <c r="CB4" s="182">
        <f>ОДД!H3</f>
        <v>91469.297041408019</v>
      </c>
      <c r="CC4" s="181">
        <f>CO4/12</f>
        <v>7927.3390769220277</v>
      </c>
      <c r="CD4" s="182">
        <f>CC4</f>
        <v>7927.3390769220277</v>
      </c>
      <c r="CE4" s="182">
        <f t="shared" ref="CE4:CN4" si="21">CD4</f>
        <v>7927.3390769220277</v>
      </c>
      <c r="CF4" s="182">
        <f t="shared" si="21"/>
        <v>7927.3390769220277</v>
      </c>
      <c r="CG4" s="182">
        <f t="shared" si="21"/>
        <v>7927.3390769220277</v>
      </c>
      <c r="CH4" s="182">
        <f t="shared" si="21"/>
        <v>7927.3390769220277</v>
      </c>
      <c r="CI4" s="182">
        <f t="shared" si="21"/>
        <v>7927.3390769220277</v>
      </c>
      <c r="CJ4" s="182">
        <f t="shared" si="21"/>
        <v>7927.3390769220277</v>
      </c>
      <c r="CK4" s="182">
        <f t="shared" si="21"/>
        <v>7927.3390769220277</v>
      </c>
      <c r="CL4" s="182">
        <f t="shared" si="21"/>
        <v>7927.3390769220277</v>
      </c>
      <c r="CM4" s="182">
        <f t="shared" si="21"/>
        <v>7927.3390769220277</v>
      </c>
      <c r="CN4" s="182">
        <f t="shared" si="21"/>
        <v>7927.3390769220277</v>
      </c>
      <c r="CO4" s="182">
        <f>ОДД!I3</f>
        <v>95128.068923064333</v>
      </c>
      <c r="CP4" s="181">
        <f>DB4/12</f>
        <v>8295.7348373834429</v>
      </c>
      <c r="CQ4" s="182">
        <f>CP4</f>
        <v>8295.7348373834429</v>
      </c>
      <c r="CR4" s="182">
        <f t="shared" ref="CR4:DA4" si="22">CQ4</f>
        <v>8295.7348373834429</v>
      </c>
      <c r="CS4" s="182">
        <f t="shared" si="22"/>
        <v>8295.7348373834429</v>
      </c>
      <c r="CT4" s="182">
        <f t="shared" si="22"/>
        <v>8295.7348373834429</v>
      </c>
      <c r="CU4" s="182">
        <f t="shared" si="22"/>
        <v>8295.7348373834429</v>
      </c>
      <c r="CV4" s="182">
        <f t="shared" si="22"/>
        <v>8295.7348373834429</v>
      </c>
      <c r="CW4" s="182">
        <f t="shared" si="22"/>
        <v>8295.7348373834429</v>
      </c>
      <c r="CX4" s="182">
        <f t="shared" si="22"/>
        <v>8295.7348373834429</v>
      </c>
      <c r="CY4" s="182">
        <f t="shared" si="22"/>
        <v>8295.7348373834429</v>
      </c>
      <c r="CZ4" s="182">
        <f t="shared" si="22"/>
        <v>8295.7348373834429</v>
      </c>
      <c r="DA4" s="182">
        <f t="shared" si="22"/>
        <v>8295.7348373834429</v>
      </c>
      <c r="DB4" s="182">
        <f>ОДД!J3</f>
        <v>99548.818048601315</v>
      </c>
      <c r="DC4" s="181">
        <f>DO4/12</f>
        <v>8627.564230878781</v>
      </c>
      <c r="DD4" s="182">
        <f>DC4</f>
        <v>8627.564230878781</v>
      </c>
      <c r="DE4" s="182">
        <f t="shared" ref="DE4:DN4" si="23">DD4</f>
        <v>8627.564230878781</v>
      </c>
      <c r="DF4" s="182">
        <f t="shared" si="23"/>
        <v>8627.564230878781</v>
      </c>
      <c r="DG4" s="182">
        <f t="shared" si="23"/>
        <v>8627.564230878781</v>
      </c>
      <c r="DH4" s="182">
        <f t="shared" si="23"/>
        <v>8627.564230878781</v>
      </c>
      <c r="DI4" s="182">
        <f t="shared" si="23"/>
        <v>8627.564230878781</v>
      </c>
      <c r="DJ4" s="182">
        <f t="shared" si="23"/>
        <v>8627.564230878781</v>
      </c>
      <c r="DK4" s="182">
        <f t="shared" si="23"/>
        <v>8627.564230878781</v>
      </c>
      <c r="DL4" s="182">
        <f t="shared" si="23"/>
        <v>8627.564230878781</v>
      </c>
      <c r="DM4" s="182">
        <f t="shared" si="23"/>
        <v>8627.564230878781</v>
      </c>
      <c r="DN4" s="182">
        <f t="shared" si="23"/>
        <v>8627.564230878781</v>
      </c>
      <c r="DO4" s="182">
        <f>ОДД!K3</f>
        <v>103530.77077054536</v>
      </c>
    </row>
    <row r="5" spans="1:119" s="24" customFormat="1" ht="18" thickTop="1" thickBot="1">
      <c r="B5" s="43" t="s">
        <v>89</v>
      </c>
      <c r="C5" s="26">
        <v>0</v>
      </c>
      <c r="D5" s="26">
        <v>0</v>
      </c>
      <c r="E5" s="26">
        <f t="shared" ref="E5:K5" si="24">D5</f>
        <v>0</v>
      </c>
      <c r="F5" s="26">
        <f t="shared" si="24"/>
        <v>0</v>
      </c>
      <c r="G5" s="26">
        <f t="shared" si="24"/>
        <v>0</v>
      </c>
      <c r="H5" s="26">
        <f>O5/6</f>
        <v>6320.166666666667</v>
      </c>
      <c r="I5" s="26">
        <f t="shared" si="24"/>
        <v>6320.166666666667</v>
      </c>
      <c r="J5" s="26">
        <f t="shared" si="24"/>
        <v>6320.166666666667</v>
      </c>
      <c r="K5" s="26">
        <f t="shared" si="24"/>
        <v>6320.166666666667</v>
      </c>
      <c r="L5" s="26">
        <f t="shared" si="10"/>
        <v>6320.166666666667</v>
      </c>
      <c r="M5" s="26">
        <f t="shared" si="11"/>
        <v>6320.166666666667</v>
      </c>
      <c r="N5" s="26">
        <f t="shared" si="8"/>
        <v>6320.166666666667</v>
      </c>
      <c r="O5" s="26">
        <f>ОДД!C6</f>
        <v>37921</v>
      </c>
      <c r="P5" s="26">
        <f t="shared" si="12"/>
        <v>1549.9959999999999</v>
      </c>
      <c r="Q5" s="26">
        <f t="shared" si="13"/>
        <v>1549.9959999999999</v>
      </c>
      <c r="R5" s="26">
        <f t="shared" si="13"/>
        <v>1549.9959999999999</v>
      </c>
      <c r="S5" s="26">
        <f t="shared" si="13"/>
        <v>1549.9959999999999</v>
      </c>
      <c r="T5" s="26">
        <f t="shared" si="13"/>
        <v>1549.9959999999999</v>
      </c>
      <c r="U5" s="26">
        <f t="shared" si="13"/>
        <v>1549.9959999999999</v>
      </c>
      <c r="V5" s="26">
        <f t="shared" si="13"/>
        <v>1549.9959999999999</v>
      </c>
      <c r="W5" s="26">
        <f t="shared" si="13"/>
        <v>1549.9959999999999</v>
      </c>
      <c r="X5" s="26">
        <f t="shared" si="13"/>
        <v>1549.9959999999999</v>
      </c>
      <c r="Y5" s="26">
        <f t="shared" si="13"/>
        <v>1549.9959999999999</v>
      </c>
      <c r="Z5" s="26">
        <f t="shared" si="13"/>
        <v>1549.9959999999999</v>
      </c>
      <c r="AA5" s="26">
        <f t="shared" si="13"/>
        <v>1549.9959999999999</v>
      </c>
      <c r="AB5" s="26">
        <f>ОДД!D6</f>
        <v>18599.951999999997</v>
      </c>
      <c r="AC5" s="26">
        <f t="shared" si="14"/>
        <v>613.66250666666667</v>
      </c>
      <c r="AD5" s="26">
        <f t="shared" ref="AD5:AN5" si="25">AC5</f>
        <v>613.66250666666667</v>
      </c>
      <c r="AE5" s="26">
        <f t="shared" si="25"/>
        <v>613.66250666666667</v>
      </c>
      <c r="AF5" s="26">
        <f t="shared" si="25"/>
        <v>613.66250666666667</v>
      </c>
      <c r="AG5" s="26">
        <f t="shared" si="25"/>
        <v>613.66250666666667</v>
      </c>
      <c r="AH5" s="26">
        <f t="shared" si="25"/>
        <v>613.66250666666667</v>
      </c>
      <c r="AI5" s="26">
        <f t="shared" si="25"/>
        <v>613.66250666666667</v>
      </c>
      <c r="AJ5" s="26">
        <f t="shared" si="25"/>
        <v>613.66250666666667</v>
      </c>
      <c r="AK5" s="26">
        <f t="shared" si="25"/>
        <v>613.66250666666667</v>
      </c>
      <c r="AL5" s="26">
        <f t="shared" si="25"/>
        <v>613.66250666666667</v>
      </c>
      <c r="AM5" s="26">
        <f t="shared" si="25"/>
        <v>613.66250666666667</v>
      </c>
      <c r="AN5" s="26">
        <f t="shared" si="25"/>
        <v>613.66250666666667</v>
      </c>
      <c r="AO5" s="26">
        <f>ОДД!E6</f>
        <v>7363.9500800000005</v>
      </c>
      <c r="AP5" s="26">
        <f t="shared" si="16"/>
        <v>638.20900693333351</v>
      </c>
      <c r="AQ5" s="26">
        <f t="shared" ref="AQ5:BA5" si="26">AP5</f>
        <v>638.20900693333351</v>
      </c>
      <c r="AR5" s="26">
        <f t="shared" si="26"/>
        <v>638.20900693333351</v>
      </c>
      <c r="AS5" s="26">
        <f t="shared" si="26"/>
        <v>638.20900693333351</v>
      </c>
      <c r="AT5" s="26">
        <f t="shared" si="26"/>
        <v>638.20900693333351</v>
      </c>
      <c r="AU5" s="26">
        <f t="shared" si="26"/>
        <v>638.20900693333351</v>
      </c>
      <c r="AV5" s="26">
        <f t="shared" si="26"/>
        <v>638.20900693333351</v>
      </c>
      <c r="AW5" s="26">
        <f t="shared" si="26"/>
        <v>638.20900693333351</v>
      </c>
      <c r="AX5" s="26">
        <f t="shared" si="26"/>
        <v>638.20900693333351</v>
      </c>
      <c r="AY5" s="26">
        <f t="shared" si="26"/>
        <v>638.20900693333351</v>
      </c>
      <c r="AZ5" s="26">
        <f t="shared" si="26"/>
        <v>638.20900693333351</v>
      </c>
      <c r="BA5" s="26">
        <f t="shared" si="26"/>
        <v>638.20900693333351</v>
      </c>
      <c r="BB5" s="172">
        <f>ОДД!F6</f>
        <v>7658.5080832000021</v>
      </c>
      <c r="BC5" s="181">
        <f t="shared" ref="BC5:BC19" si="27">BO5/12</f>
        <v>663.73736721066678</v>
      </c>
      <c r="BD5" s="182">
        <f>BC5</f>
        <v>663.73736721066678</v>
      </c>
      <c r="BE5" s="182">
        <f t="shared" ref="BE5:BN5" si="28">BD5</f>
        <v>663.73736721066678</v>
      </c>
      <c r="BF5" s="182">
        <f t="shared" si="28"/>
        <v>663.73736721066678</v>
      </c>
      <c r="BG5" s="182">
        <f t="shared" si="28"/>
        <v>663.73736721066678</v>
      </c>
      <c r="BH5" s="182">
        <f t="shared" si="28"/>
        <v>663.73736721066678</v>
      </c>
      <c r="BI5" s="182">
        <f t="shared" si="28"/>
        <v>663.73736721066678</v>
      </c>
      <c r="BJ5" s="182">
        <f t="shared" si="28"/>
        <v>663.73736721066678</v>
      </c>
      <c r="BK5" s="182">
        <f t="shared" si="28"/>
        <v>663.73736721066678</v>
      </c>
      <c r="BL5" s="182">
        <f t="shared" si="28"/>
        <v>663.73736721066678</v>
      </c>
      <c r="BM5" s="182">
        <f t="shared" si="28"/>
        <v>663.73736721066678</v>
      </c>
      <c r="BN5" s="182">
        <f t="shared" si="28"/>
        <v>663.73736721066678</v>
      </c>
      <c r="BO5" s="183">
        <f>ОДД!G6</f>
        <v>7964.8484065280018</v>
      </c>
      <c r="BP5" s="181">
        <f t="shared" si="19"/>
        <v>705.96436189909343</v>
      </c>
      <c r="BQ5" s="182">
        <f>BP5</f>
        <v>705.96436189909343</v>
      </c>
      <c r="BR5" s="182">
        <f t="shared" ref="BR5:CA5" si="29">BQ5</f>
        <v>705.96436189909343</v>
      </c>
      <c r="BS5" s="182">
        <f t="shared" si="29"/>
        <v>705.96436189909343</v>
      </c>
      <c r="BT5" s="182">
        <f t="shared" si="29"/>
        <v>705.96436189909343</v>
      </c>
      <c r="BU5" s="182">
        <f t="shared" si="29"/>
        <v>705.96436189909343</v>
      </c>
      <c r="BV5" s="182">
        <f t="shared" si="29"/>
        <v>705.96436189909343</v>
      </c>
      <c r="BW5" s="182">
        <f t="shared" si="29"/>
        <v>705.96436189909343</v>
      </c>
      <c r="BX5" s="182">
        <f t="shared" si="29"/>
        <v>705.96436189909343</v>
      </c>
      <c r="BY5" s="182">
        <f t="shared" si="29"/>
        <v>705.96436189909343</v>
      </c>
      <c r="BZ5" s="182">
        <f t="shared" si="29"/>
        <v>705.96436189909343</v>
      </c>
      <c r="CA5" s="182">
        <f t="shared" si="29"/>
        <v>705.96436189909343</v>
      </c>
      <c r="CB5" s="183">
        <f>ОДД!H6</f>
        <v>8471.5723427891207</v>
      </c>
      <c r="CC5" s="181">
        <f t="shared" ref="CC5:CC20" si="30">CO5/12</f>
        <v>717.89833637505728</v>
      </c>
      <c r="CD5" s="182">
        <f>CC5</f>
        <v>717.89833637505728</v>
      </c>
      <c r="CE5" s="182">
        <f t="shared" ref="CE5:CN5" si="31">CD5</f>
        <v>717.89833637505728</v>
      </c>
      <c r="CF5" s="182">
        <f t="shared" si="31"/>
        <v>717.89833637505728</v>
      </c>
      <c r="CG5" s="182">
        <f t="shared" si="31"/>
        <v>717.89833637505728</v>
      </c>
      <c r="CH5" s="182">
        <f t="shared" si="31"/>
        <v>717.89833637505728</v>
      </c>
      <c r="CI5" s="182">
        <f t="shared" si="31"/>
        <v>717.89833637505728</v>
      </c>
      <c r="CJ5" s="182">
        <f t="shared" si="31"/>
        <v>717.89833637505728</v>
      </c>
      <c r="CK5" s="182">
        <f t="shared" si="31"/>
        <v>717.89833637505728</v>
      </c>
      <c r="CL5" s="182">
        <f t="shared" si="31"/>
        <v>717.89833637505728</v>
      </c>
      <c r="CM5" s="182">
        <f t="shared" si="31"/>
        <v>717.89833637505728</v>
      </c>
      <c r="CN5" s="182">
        <f t="shared" si="31"/>
        <v>717.89833637505728</v>
      </c>
      <c r="CO5" s="183">
        <f>ОДД!I6</f>
        <v>8614.7800365006879</v>
      </c>
      <c r="CP5" s="181">
        <f t="shared" ref="CP5:CP20" si="32">DB5/12</f>
        <v>746.61426983005958</v>
      </c>
      <c r="CQ5" s="182">
        <f>CP5</f>
        <v>746.61426983005958</v>
      </c>
      <c r="CR5" s="182">
        <f t="shared" ref="CR5:DA5" si="33">CQ5</f>
        <v>746.61426983005958</v>
      </c>
      <c r="CS5" s="182">
        <f t="shared" si="33"/>
        <v>746.61426983005958</v>
      </c>
      <c r="CT5" s="182">
        <f t="shared" si="33"/>
        <v>746.61426983005958</v>
      </c>
      <c r="CU5" s="182">
        <f t="shared" si="33"/>
        <v>746.61426983005958</v>
      </c>
      <c r="CV5" s="182">
        <f t="shared" si="33"/>
        <v>746.61426983005958</v>
      </c>
      <c r="CW5" s="182">
        <f t="shared" si="33"/>
        <v>746.61426983005958</v>
      </c>
      <c r="CX5" s="182">
        <f t="shared" si="33"/>
        <v>746.61426983005958</v>
      </c>
      <c r="CY5" s="182">
        <f t="shared" si="33"/>
        <v>746.61426983005958</v>
      </c>
      <c r="CZ5" s="182">
        <f t="shared" si="33"/>
        <v>746.61426983005958</v>
      </c>
      <c r="DA5" s="182">
        <f t="shared" si="33"/>
        <v>746.61426983005958</v>
      </c>
      <c r="DB5" s="183">
        <f>ОДД!J6</f>
        <v>8959.371237960715</v>
      </c>
      <c r="DC5" s="181">
        <f t="shared" ref="DC5:DC20" si="34">DO5/12</f>
        <v>776.47884062326193</v>
      </c>
      <c r="DD5" s="182">
        <f>DC5</f>
        <v>776.47884062326193</v>
      </c>
      <c r="DE5" s="182">
        <f t="shared" ref="DE5:DN5" si="35">DD5</f>
        <v>776.47884062326193</v>
      </c>
      <c r="DF5" s="182">
        <f t="shared" si="35"/>
        <v>776.47884062326193</v>
      </c>
      <c r="DG5" s="182">
        <f t="shared" si="35"/>
        <v>776.47884062326193</v>
      </c>
      <c r="DH5" s="182">
        <f t="shared" si="35"/>
        <v>776.47884062326193</v>
      </c>
      <c r="DI5" s="182">
        <f t="shared" si="35"/>
        <v>776.47884062326193</v>
      </c>
      <c r="DJ5" s="182">
        <f t="shared" si="35"/>
        <v>776.47884062326193</v>
      </c>
      <c r="DK5" s="182">
        <f t="shared" si="35"/>
        <v>776.47884062326193</v>
      </c>
      <c r="DL5" s="182">
        <f t="shared" si="35"/>
        <v>776.47884062326193</v>
      </c>
      <c r="DM5" s="182">
        <f t="shared" si="35"/>
        <v>776.47884062326193</v>
      </c>
      <c r="DN5" s="182">
        <f t="shared" si="35"/>
        <v>776.47884062326193</v>
      </c>
      <c r="DO5" s="183">
        <f>ОДД!K6</f>
        <v>9317.7460874791432</v>
      </c>
    </row>
    <row r="6" spans="1:119" ht="18" thickTop="1" thickBot="1">
      <c r="A6" s="24" t="s">
        <v>57</v>
      </c>
      <c r="B6" s="43" t="s">
        <v>73</v>
      </c>
      <c r="C6" s="26">
        <v>207.583</v>
      </c>
      <c r="D6" s="26">
        <f t="shared" ref="D6:M6" si="36">C6</f>
        <v>207.583</v>
      </c>
      <c r="E6" s="26">
        <f t="shared" si="36"/>
        <v>207.583</v>
      </c>
      <c r="F6" s="26">
        <f t="shared" si="36"/>
        <v>207.583</v>
      </c>
      <c r="G6" s="26">
        <f t="shared" si="36"/>
        <v>207.583</v>
      </c>
      <c r="H6" s="26">
        <f>G6</f>
        <v>207.583</v>
      </c>
      <c r="I6" s="26">
        <f t="shared" si="36"/>
        <v>207.583</v>
      </c>
      <c r="J6" s="26">
        <f t="shared" si="36"/>
        <v>207.583</v>
      </c>
      <c r="K6" s="26">
        <f t="shared" si="36"/>
        <v>207.583</v>
      </c>
      <c r="L6" s="26">
        <f>K6</f>
        <v>207.583</v>
      </c>
      <c r="M6" s="26">
        <f t="shared" si="36"/>
        <v>207.583</v>
      </c>
      <c r="N6" s="26">
        <v>1235</v>
      </c>
      <c r="O6" s="49">
        <f>ОДД!C4+ОДД!C7</f>
        <v>3517.9907999999996</v>
      </c>
      <c r="P6" s="26">
        <f t="shared" si="12"/>
        <v>1299.0501926999998</v>
      </c>
      <c r="Q6" s="26">
        <f t="shared" si="13"/>
        <v>1299.0501926999998</v>
      </c>
      <c r="R6" s="26">
        <f t="shared" si="13"/>
        <v>1299.0501926999998</v>
      </c>
      <c r="S6" s="26">
        <f t="shared" si="13"/>
        <v>1299.0501926999998</v>
      </c>
      <c r="T6" s="26">
        <f t="shared" si="13"/>
        <v>1299.0501926999998</v>
      </c>
      <c r="U6" s="26">
        <f t="shared" si="13"/>
        <v>1299.0501926999998</v>
      </c>
      <c r="V6" s="26">
        <f t="shared" si="13"/>
        <v>1299.0501926999998</v>
      </c>
      <c r="W6" s="26">
        <f t="shared" si="13"/>
        <v>1299.0501926999998</v>
      </c>
      <c r="X6" s="26">
        <f t="shared" si="13"/>
        <v>1299.0501926999998</v>
      </c>
      <c r="Y6" s="26">
        <f t="shared" si="13"/>
        <v>1299.0501926999998</v>
      </c>
      <c r="Z6" s="26">
        <f t="shared" si="13"/>
        <v>1299.0501926999998</v>
      </c>
      <c r="AA6" s="26">
        <f t="shared" si="13"/>
        <v>1299.0501926999998</v>
      </c>
      <c r="AB6" s="49">
        <f>ОДД!D4+ОДД!D7</f>
        <v>15588.602312399998</v>
      </c>
      <c r="AC6" s="26">
        <f t="shared" si="14"/>
        <v>1379.5913046474</v>
      </c>
      <c r="AD6" s="26">
        <f t="shared" ref="AD6:AN6" si="37">AC6</f>
        <v>1379.5913046474</v>
      </c>
      <c r="AE6" s="26">
        <f t="shared" si="37"/>
        <v>1379.5913046474</v>
      </c>
      <c r="AF6" s="26">
        <f t="shared" si="37"/>
        <v>1379.5913046474</v>
      </c>
      <c r="AG6" s="26">
        <f t="shared" si="37"/>
        <v>1379.5913046474</v>
      </c>
      <c r="AH6" s="26">
        <f t="shared" si="37"/>
        <v>1379.5913046474</v>
      </c>
      <c r="AI6" s="26">
        <f t="shared" si="37"/>
        <v>1379.5913046474</v>
      </c>
      <c r="AJ6" s="26">
        <f t="shared" si="37"/>
        <v>1379.5913046474</v>
      </c>
      <c r="AK6" s="26">
        <f t="shared" si="37"/>
        <v>1379.5913046474</v>
      </c>
      <c r="AL6" s="26">
        <f t="shared" si="37"/>
        <v>1379.5913046474</v>
      </c>
      <c r="AM6" s="26">
        <f t="shared" si="37"/>
        <v>1379.5913046474</v>
      </c>
      <c r="AN6" s="26">
        <f t="shared" si="37"/>
        <v>1379.5913046474</v>
      </c>
      <c r="AO6" s="49">
        <f>ОДД!E4+ОДД!E7</f>
        <v>16555.0956557688</v>
      </c>
      <c r="AP6" s="26">
        <f t="shared" si="16"/>
        <v>1472.0239220587755</v>
      </c>
      <c r="AQ6" s="26">
        <f t="shared" ref="AQ6:BA6" si="38">AP6</f>
        <v>1472.0239220587755</v>
      </c>
      <c r="AR6" s="26">
        <f t="shared" si="38"/>
        <v>1472.0239220587755</v>
      </c>
      <c r="AS6" s="26">
        <f t="shared" si="38"/>
        <v>1472.0239220587755</v>
      </c>
      <c r="AT6" s="26">
        <f t="shared" si="38"/>
        <v>1472.0239220587755</v>
      </c>
      <c r="AU6" s="26">
        <f t="shared" si="38"/>
        <v>1472.0239220587755</v>
      </c>
      <c r="AV6" s="26">
        <f t="shared" si="38"/>
        <v>1472.0239220587755</v>
      </c>
      <c r="AW6" s="26">
        <f t="shared" si="38"/>
        <v>1472.0239220587755</v>
      </c>
      <c r="AX6" s="26">
        <f t="shared" si="38"/>
        <v>1472.0239220587755</v>
      </c>
      <c r="AY6" s="26">
        <f t="shared" si="38"/>
        <v>1472.0239220587755</v>
      </c>
      <c r="AZ6" s="26">
        <f t="shared" si="38"/>
        <v>1472.0239220587755</v>
      </c>
      <c r="BA6" s="26">
        <f t="shared" si="38"/>
        <v>1472.0239220587755</v>
      </c>
      <c r="BB6" s="173">
        <f>ОДД!F4+ОДД!F7</f>
        <v>17664.287064705306</v>
      </c>
      <c r="BC6" s="181">
        <f t="shared" si="27"/>
        <v>1570.6495248367137</v>
      </c>
      <c r="BD6" s="182">
        <f>BC6</f>
        <v>1570.6495248367137</v>
      </c>
      <c r="BE6" s="182">
        <f t="shared" ref="BE6:BN6" si="39">BD6</f>
        <v>1570.6495248367137</v>
      </c>
      <c r="BF6" s="182">
        <f t="shared" si="39"/>
        <v>1570.6495248367137</v>
      </c>
      <c r="BG6" s="182">
        <f t="shared" si="39"/>
        <v>1570.6495248367137</v>
      </c>
      <c r="BH6" s="182">
        <f t="shared" si="39"/>
        <v>1570.6495248367137</v>
      </c>
      <c r="BI6" s="182">
        <f t="shared" si="39"/>
        <v>1570.6495248367137</v>
      </c>
      <c r="BJ6" s="182">
        <f t="shared" si="39"/>
        <v>1570.6495248367137</v>
      </c>
      <c r="BK6" s="182">
        <f t="shared" si="39"/>
        <v>1570.6495248367137</v>
      </c>
      <c r="BL6" s="182">
        <f t="shared" si="39"/>
        <v>1570.6495248367137</v>
      </c>
      <c r="BM6" s="182">
        <f t="shared" si="39"/>
        <v>1570.6495248367137</v>
      </c>
      <c r="BN6" s="182">
        <f t="shared" si="39"/>
        <v>1570.6495248367137</v>
      </c>
      <c r="BO6" s="184">
        <f>ОДД!G4+ОДД!G7</f>
        <v>18847.794298040564</v>
      </c>
      <c r="BP6" s="181">
        <f t="shared" si="19"/>
        <v>1675.8830430007736</v>
      </c>
      <c r="BQ6" s="182">
        <f>BP6</f>
        <v>1675.8830430007736</v>
      </c>
      <c r="BR6" s="182">
        <f t="shared" ref="BR6:CA6" si="40">BQ6</f>
        <v>1675.8830430007736</v>
      </c>
      <c r="BS6" s="182">
        <f t="shared" si="40"/>
        <v>1675.8830430007736</v>
      </c>
      <c r="BT6" s="182">
        <f t="shared" si="40"/>
        <v>1675.8830430007736</v>
      </c>
      <c r="BU6" s="182">
        <f t="shared" si="40"/>
        <v>1675.8830430007736</v>
      </c>
      <c r="BV6" s="182">
        <f t="shared" si="40"/>
        <v>1675.8830430007736</v>
      </c>
      <c r="BW6" s="182">
        <f t="shared" si="40"/>
        <v>1675.8830430007736</v>
      </c>
      <c r="BX6" s="182">
        <f t="shared" si="40"/>
        <v>1675.8830430007736</v>
      </c>
      <c r="BY6" s="182">
        <f t="shared" si="40"/>
        <v>1675.8830430007736</v>
      </c>
      <c r="BZ6" s="182">
        <f t="shared" si="40"/>
        <v>1675.8830430007736</v>
      </c>
      <c r="CA6" s="182">
        <f t="shared" si="40"/>
        <v>1675.8830430007736</v>
      </c>
      <c r="CB6" s="184">
        <f>ОДД!H4+ОДД!H7</f>
        <v>20110.596516009282</v>
      </c>
      <c r="CC6" s="181">
        <f t="shared" si="30"/>
        <v>1788.1672068818252</v>
      </c>
      <c r="CD6" s="182">
        <f>CC6</f>
        <v>1788.1672068818252</v>
      </c>
      <c r="CE6" s="182">
        <f t="shared" ref="CE6:CN6" si="41">CD6</f>
        <v>1788.1672068818252</v>
      </c>
      <c r="CF6" s="182">
        <f t="shared" si="41"/>
        <v>1788.1672068818252</v>
      </c>
      <c r="CG6" s="182">
        <f t="shared" si="41"/>
        <v>1788.1672068818252</v>
      </c>
      <c r="CH6" s="182">
        <f t="shared" si="41"/>
        <v>1788.1672068818252</v>
      </c>
      <c r="CI6" s="182">
        <f t="shared" si="41"/>
        <v>1788.1672068818252</v>
      </c>
      <c r="CJ6" s="182">
        <f t="shared" si="41"/>
        <v>1788.1672068818252</v>
      </c>
      <c r="CK6" s="182">
        <f t="shared" si="41"/>
        <v>1788.1672068818252</v>
      </c>
      <c r="CL6" s="182">
        <f t="shared" si="41"/>
        <v>1788.1672068818252</v>
      </c>
      <c r="CM6" s="182">
        <f t="shared" si="41"/>
        <v>1788.1672068818252</v>
      </c>
      <c r="CN6" s="182">
        <f t="shared" si="41"/>
        <v>1788.1672068818252</v>
      </c>
      <c r="CO6" s="184">
        <f>ОДД!I4+ОДД!I7</f>
        <v>21458.006482581903</v>
      </c>
      <c r="CP6" s="181">
        <f t="shared" si="32"/>
        <v>1907.9744097429075</v>
      </c>
      <c r="CQ6" s="182">
        <f>CP6</f>
        <v>1907.9744097429075</v>
      </c>
      <c r="CR6" s="182">
        <f t="shared" ref="CR6:DA6" si="42">CQ6</f>
        <v>1907.9744097429075</v>
      </c>
      <c r="CS6" s="182">
        <f t="shared" si="42"/>
        <v>1907.9744097429075</v>
      </c>
      <c r="CT6" s="182">
        <f t="shared" si="42"/>
        <v>1907.9744097429075</v>
      </c>
      <c r="CU6" s="182">
        <f t="shared" si="42"/>
        <v>1907.9744097429075</v>
      </c>
      <c r="CV6" s="182">
        <f t="shared" si="42"/>
        <v>1907.9744097429075</v>
      </c>
      <c r="CW6" s="182">
        <f t="shared" si="42"/>
        <v>1907.9744097429075</v>
      </c>
      <c r="CX6" s="182">
        <f t="shared" si="42"/>
        <v>1907.9744097429075</v>
      </c>
      <c r="CY6" s="182">
        <f t="shared" si="42"/>
        <v>1907.9744097429075</v>
      </c>
      <c r="CZ6" s="182">
        <f t="shared" si="42"/>
        <v>1907.9744097429075</v>
      </c>
      <c r="DA6" s="182">
        <f t="shared" si="42"/>
        <v>1907.9744097429075</v>
      </c>
      <c r="DB6" s="184">
        <f>ОДД!J4+ОДД!J7</f>
        <v>22895.69291691489</v>
      </c>
      <c r="DC6" s="181">
        <f t="shared" si="34"/>
        <v>2035.808695195682</v>
      </c>
      <c r="DD6" s="182">
        <f>DC6</f>
        <v>2035.808695195682</v>
      </c>
      <c r="DE6" s="182">
        <f t="shared" ref="DE6:DN6" si="43">DD6</f>
        <v>2035.808695195682</v>
      </c>
      <c r="DF6" s="182">
        <f t="shared" si="43"/>
        <v>2035.808695195682</v>
      </c>
      <c r="DG6" s="182">
        <f t="shared" si="43"/>
        <v>2035.808695195682</v>
      </c>
      <c r="DH6" s="182">
        <f t="shared" si="43"/>
        <v>2035.808695195682</v>
      </c>
      <c r="DI6" s="182">
        <f t="shared" si="43"/>
        <v>2035.808695195682</v>
      </c>
      <c r="DJ6" s="182">
        <f t="shared" si="43"/>
        <v>2035.808695195682</v>
      </c>
      <c r="DK6" s="182">
        <f t="shared" si="43"/>
        <v>2035.808695195682</v>
      </c>
      <c r="DL6" s="182">
        <f t="shared" si="43"/>
        <v>2035.808695195682</v>
      </c>
      <c r="DM6" s="182">
        <f t="shared" si="43"/>
        <v>2035.808695195682</v>
      </c>
      <c r="DN6" s="182">
        <f t="shared" si="43"/>
        <v>2035.808695195682</v>
      </c>
      <c r="DO6" s="184">
        <f>ОДД!K4+ОДД!K7</f>
        <v>24429.704342348185</v>
      </c>
    </row>
    <row r="7" spans="1:119" ht="18" thickTop="1" thickBot="1">
      <c r="A7" s="24"/>
      <c r="B7" s="43" t="s">
        <v>90</v>
      </c>
      <c r="C7" s="26">
        <f t="shared" ref="C7" si="44">O7/12</f>
        <v>28.333333333333332</v>
      </c>
      <c r="D7" s="26">
        <f t="shared" ref="D7:N7" si="45">C7</f>
        <v>28.333333333333332</v>
      </c>
      <c r="E7" s="26">
        <f t="shared" si="45"/>
        <v>28.333333333333332</v>
      </c>
      <c r="F7" s="26">
        <f t="shared" si="45"/>
        <v>28.333333333333332</v>
      </c>
      <c r="G7" s="26">
        <f t="shared" si="45"/>
        <v>28.333333333333332</v>
      </c>
      <c r="H7" s="26">
        <f t="shared" si="45"/>
        <v>28.333333333333332</v>
      </c>
      <c r="I7" s="26">
        <f t="shared" si="45"/>
        <v>28.333333333333332</v>
      </c>
      <c r="J7" s="26">
        <f t="shared" si="45"/>
        <v>28.333333333333332</v>
      </c>
      <c r="K7" s="26">
        <f t="shared" si="45"/>
        <v>28.333333333333332</v>
      </c>
      <c r="L7" s="26">
        <f t="shared" si="45"/>
        <v>28.333333333333332</v>
      </c>
      <c r="M7" s="26">
        <f t="shared" si="45"/>
        <v>28.333333333333332</v>
      </c>
      <c r="N7" s="26">
        <f t="shared" si="45"/>
        <v>28.333333333333332</v>
      </c>
      <c r="O7" s="41">
        <f>ОДД!C9</f>
        <v>340</v>
      </c>
      <c r="P7" s="26">
        <f t="shared" si="12"/>
        <v>39.734971095000084</v>
      </c>
      <c r="Q7" s="26">
        <f t="shared" si="13"/>
        <v>39.734971095000084</v>
      </c>
      <c r="R7" s="26">
        <f t="shared" si="13"/>
        <v>39.734971095000084</v>
      </c>
      <c r="S7" s="26">
        <f t="shared" si="13"/>
        <v>39.734971095000084</v>
      </c>
      <c r="T7" s="26">
        <f t="shared" si="13"/>
        <v>39.734971095000084</v>
      </c>
      <c r="U7" s="26">
        <f t="shared" si="13"/>
        <v>39.734971095000084</v>
      </c>
      <c r="V7" s="26">
        <f t="shared" si="13"/>
        <v>39.734971095000084</v>
      </c>
      <c r="W7" s="26">
        <f t="shared" si="13"/>
        <v>39.734971095000084</v>
      </c>
      <c r="X7" s="26">
        <f t="shared" si="13"/>
        <v>39.734971095000084</v>
      </c>
      <c r="Y7" s="26">
        <f t="shared" si="13"/>
        <v>39.734971095000084</v>
      </c>
      <c r="Z7" s="26">
        <f t="shared" si="13"/>
        <v>39.734971095000084</v>
      </c>
      <c r="AA7" s="26">
        <f t="shared" si="13"/>
        <v>39.734971095000084</v>
      </c>
      <c r="AB7" s="41">
        <f>ОДД!D9</f>
        <v>476.81965314000098</v>
      </c>
      <c r="AC7" s="26">
        <f t="shared" si="14"/>
        <v>350.64856430289001</v>
      </c>
      <c r="AD7" s="26">
        <f t="shared" ref="AD7:AN7" si="46">AC7</f>
        <v>350.64856430289001</v>
      </c>
      <c r="AE7" s="26">
        <f t="shared" si="46"/>
        <v>350.64856430289001</v>
      </c>
      <c r="AF7" s="26">
        <f t="shared" si="46"/>
        <v>350.64856430289001</v>
      </c>
      <c r="AG7" s="26">
        <f t="shared" si="46"/>
        <v>350.64856430289001</v>
      </c>
      <c r="AH7" s="26">
        <f t="shared" si="46"/>
        <v>350.64856430289001</v>
      </c>
      <c r="AI7" s="26">
        <f t="shared" si="46"/>
        <v>350.64856430289001</v>
      </c>
      <c r="AJ7" s="26">
        <f t="shared" si="46"/>
        <v>350.64856430289001</v>
      </c>
      <c r="AK7" s="26">
        <f t="shared" si="46"/>
        <v>350.64856430289001</v>
      </c>
      <c r="AL7" s="26">
        <f t="shared" si="46"/>
        <v>350.64856430289001</v>
      </c>
      <c r="AM7" s="26">
        <f t="shared" si="46"/>
        <v>350.64856430289001</v>
      </c>
      <c r="AN7" s="26">
        <f t="shared" si="46"/>
        <v>350.64856430289001</v>
      </c>
      <c r="AO7" s="41">
        <f>ОДД!E9</f>
        <v>4207.7827716346801</v>
      </c>
      <c r="AP7" s="26">
        <f t="shared" si="16"/>
        <v>529.71064369118415</v>
      </c>
      <c r="AQ7" s="26">
        <f t="shared" ref="AQ7:BA7" si="47">AP7</f>
        <v>529.71064369118415</v>
      </c>
      <c r="AR7" s="26">
        <f t="shared" si="47"/>
        <v>529.71064369118415</v>
      </c>
      <c r="AS7" s="26">
        <f t="shared" si="47"/>
        <v>529.71064369118415</v>
      </c>
      <c r="AT7" s="26">
        <f t="shared" si="47"/>
        <v>529.71064369118415</v>
      </c>
      <c r="AU7" s="26">
        <f t="shared" si="47"/>
        <v>529.71064369118415</v>
      </c>
      <c r="AV7" s="26">
        <f t="shared" si="47"/>
        <v>529.71064369118415</v>
      </c>
      <c r="AW7" s="26">
        <f t="shared" si="47"/>
        <v>529.71064369118415</v>
      </c>
      <c r="AX7" s="26">
        <f t="shared" si="47"/>
        <v>529.71064369118415</v>
      </c>
      <c r="AY7" s="26">
        <f t="shared" si="47"/>
        <v>529.71064369118415</v>
      </c>
      <c r="AZ7" s="26">
        <f t="shared" si="47"/>
        <v>529.71064369118415</v>
      </c>
      <c r="BA7" s="26">
        <f t="shared" si="47"/>
        <v>529.71064369118415</v>
      </c>
      <c r="BB7" s="174">
        <f>ОДД!F9</f>
        <v>6356.5277242942093</v>
      </c>
      <c r="BC7" s="181">
        <f t="shared" si="27"/>
        <v>724.2853642344935</v>
      </c>
      <c r="BD7" s="182">
        <f t="shared" ref="BD7:BN7" si="48">BC7</f>
        <v>724.2853642344935</v>
      </c>
      <c r="BE7" s="182">
        <f t="shared" si="48"/>
        <v>724.2853642344935</v>
      </c>
      <c r="BF7" s="182">
        <f t="shared" si="48"/>
        <v>724.2853642344935</v>
      </c>
      <c r="BG7" s="182">
        <f t="shared" si="48"/>
        <v>724.2853642344935</v>
      </c>
      <c r="BH7" s="182">
        <f t="shared" si="48"/>
        <v>724.2853642344935</v>
      </c>
      <c r="BI7" s="182">
        <f t="shared" si="48"/>
        <v>724.2853642344935</v>
      </c>
      <c r="BJ7" s="182">
        <f t="shared" si="48"/>
        <v>724.2853642344935</v>
      </c>
      <c r="BK7" s="182">
        <f t="shared" si="48"/>
        <v>724.2853642344935</v>
      </c>
      <c r="BL7" s="182">
        <f t="shared" si="48"/>
        <v>724.2853642344935</v>
      </c>
      <c r="BM7" s="182">
        <f t="shared" si="48"/>
        <v>724.2853642344935</v>
      </c>
      <c r="BN7" s="182">
        <f t="shared" si="48"/>
        <v>724.2853642344935</v>
      </c>
      <c r="BO7" s="181">
        <f>ОДД!G9</f>
        <v>8691.424370813922</v>
      </c>
      <c r="BP7" s="181">
        <f t="shared" si="19"/>
        <v>788.69527322828435</v>
      </c>
      <c r="BQ7" s="182">
        <f t="shared" ref="BQ7:CA7" si="49">BP7</f>
        <v>788.69527322828435</v>
      </c>
      <c r="BR7" s="182">
        <f t="shared" si="49"/>
        <v>788.69527322828435</v>
      </c>
      <c r="BS7" s="182">
        <f t="shared" si="49"/>
        <v>788.69527322828435</v>
      </c>
      <c r="BT7" s="182">
        <f t="shared" si="49"/>
        <v>788.69527322828435</v>
      </c>
      <c r="BU7" s="182">
        <f t="shared" si="49"/>
        <v>788.69527322828435</v>
      </c>
      <c r="BV7" s="182">
        <f t="shared" si="49"/>
        <v>788.69527322828435</v>
      </c>
      <c r="BW7" s="182">
        <f t="shared" si="49"/>
        <v>788.69527322828435</v>
      </c>
      <c r="BX7" s="182">
        <f t="shared" si="49"/>
        <v>788.69527322828435</v>
      </c>
      <c r="BY7" s="182">
        <f t="shared" si="49"/>
        <v>788.69527322828435</v>
      </c>
      <c r="BZ7" s="182">
        <f t="shared" si="49"/>
        <v>788.69527322828435</v>
      </c>
      <c r="CA7" s="182">
        <f t="shared" si="49"/>
        <v>788.69527322828435</v>
      </c>
      <c r="CB7" s="181">
        <f>ОДД!H9</f>
        <v>9464.3432787394122</v>
      </c>
      <c r="CC7" s="181">
        <f t="shared" si="30"/>
        <v>804.84039783326261</v>
      </c>
      <c r="CD7" s="182">
        <f t="shared" ref="CD7:CN7" si="50">CC7</f>
        <v>804.84039783326261</v>
      </c>
      <c r="CE7" s="182">
        <f t="shared" si="50"/>
        <v>804.84039783326261</v>
      </c>
      <c r="CF7" s="182">
        <f t="shared" si="50"/>
        <v>804.84039783326261</v>
      </c>
      <c r="CG7" s="182">
        <f t="shared" si="50"/>
        <v>804.84039783326261</v>
      </c>
      <c r="CH7" s="182">
        <f t="shared" si="50"/>
        <v>804.84039783326261</v>
      </c>
      <c r="CI7" s="182">
        <f t="shared" si="50"/>
        <v>804.84039783326261</v>
      </c>
      <c r="CJ7" s="182">
        <f t="shared" si="50"/>
        <v>804.84039783326261</v>
      </c>
      <c r="CK7" s="182">
        <f t="shared" si="50"/>
        <v>804.84039783326261</v>
      </c>
      <c r="CL7" s="182">
        <f t="shared" si="50"/>
        <v>804.84039783326261</v>
      </c>
      <c r="CM7" s="182">
        <f t="shared" si="50"/>
        <v>804.84039783326261</v>
      </c>
      <c r="CN7" s="182">
        <f t="shared" si="50"/>
        <v>804.84039783326261</v>
      </c>
      <c r="CO7" s="181">
        <f>ОДД!I9</f>
        <v>9658.0847739991514</v>
      </c>
      <c r="CP7" s="181">
        <f t="shared" si="32"/>
        <v>828.1363343590416</v>
      </c>
      <c r="CQ7" s="182">
        <f t="shared" ref="CQ7:DA7" si="51">CP7</f>
        <v>828.1363343590416</v>
      </c>
      <c r="CR7" s="182">
        <f t="shared" si="51"/>
        <v>828.1363343590416</v>
      </c>
      <c r="CS7" s="182">
        <f t="shared" si="51"/>
        <v>828.1363343590416</v>
      </c>
      <c r="CT7" s="182">
        <f t="shared" si="51"/>
        <v>828.1363343590416</v>
      </c>
      <c r="CU7" s="182">
        <f t="shared" si="51"/>
        <v>828.1363343590416</v>
      </c>
      <c r="CV7" s="182">
        <f t="shared" si="51"/>
        <v>828.1363343590416</v>
      </c>
      <c r="CW7" s="182">
        <f t="shared" si="51"/>
        <v>828.1363343590416</v>
      </c>
      <c r="CX7" s="182">
        <f t="shared" si="51"/>
        <v>828.1363343590416</v>
      </c>
      <c r="CY7" s="182">
        <f t="shared" si="51"/>
        <v>828.1363343590416</v>
      </c>
      <c r="CZ7" s="182">
        <f t="shared" si="51"/>
        <v>828.1363343590416</v>
      </c>
      <c r="DA7" s="182">
        <f t="shared" si="51"/>
        <v>828.1363343590416</v>
      </c>
      <c r="DB7" s="181">
        <f>ОДД!J9</f>
        <v>9937.6360123084996</v>
      </c>
      <c r="DC7" s="181">
        <f t="shared" si="34"/>
        <v>843.21887470727859</v>
      </c>
      <c r="DD7" s="182">
        <f t="shared" ref="DD7:DN7" si="52">DC7</f>
        <v>843.21887470727859</v>
      </c>
      <c r="DE7" s="182">
        <f t="shared" si="52"/>
        <v>843.21887470727859</v>
      </c>
      <c r="DF7" s="182">
        <f t="shared" si="52"/>
        <v>843.21887470727859</v>
      </c>
      <c r="DG7" s="182">
        <f t="shared" si="52"/>
        <v>843.21887470727859</v>
      </c>
      <c r="DH7" s="182">
        <f t="shared" si="52"/>
        <v>843.21887470727859</v>
      </c>
      <c r="DI7" s="182">
        <f t="shared" si="52"/>
        <v>843.21887470727859</v>
      </c>
      <c r="DJ7" s="182">
        <f t="shared" si="52"/>
        <v>843.21887470727859</v>
      </c>
      <c r="DK7" s="182">
        <f t="shared" si="52"/>
        <v>843.21887470727859</v>
      </c>
      <c r="DL7" s="182">
        <f t="shared" si="52"/>
        <v>843.21887470727859</v>
      </c>
      <c r="DM7" s="182">
        <f t="shared" si="52"/>
        <v>843.21887470727859</v>
      </c>
      <c r="DN7" s="182">
        <f t="shared" si="52"/>
        <v>843.21887470727859</v>
      </c>
      <c r="DO7" s="181">
        <f>ОДД!K9</f>
        <v>10118.626496487343</v>
      </c>
    </row>
    <row r="8" spans="1:119" ht="53" thickTop="1" thickBot="1">
      <c r="A8" s="24"/>
      <c r="B8" s="4" t="s">
        <v>24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f>O8/6</f>
        <v>-5086.4984666666669</v>
      </c>
      <c r="I8" s="26">
        <f t="shared" ref="I8" si="53">H8</f>
        <v>-5086.4984666666669</v>
      </c>
      <c r="J8" s="26">
        <f t="shared" ref="J8" si="54">I8</f>
        <v>-5086.4984666666669</v>
      </c>
      <c r="K8" s="26">
        <f>J8</f>
        <v>-5086.4984666666669</v>
      </c>
      <c r="L8" s="26">
        <f>K8</f>
        <v>-5086.4984666666669</v>
      </c>
      <c r="M8" s="26">
        <f>L8</f>
        <v>-5086.4984666666669</v>
      </c>
      <c r="N8" s="26">
        <f>M8</f>
        <v>-5086.4984666666669</v>
      </c>
      <c r="O8" s="39">
        <f>O3-O4-O5-O6-O7</f>
        <v>-30518.9908</v>
      </c>
      <c r="P8" s="26">
        <f>AB8/12</f>
        <v>322.66883620500039</v>
      </c>
      <c r="Q8" s="26">
        <f t="shared" si="13"/>
        <v>322.66883620500039</v>
      </c>
      <c r="R8" s="26">
        <f t="shared" si="13"/>
        <v>322.66883620500039</v>
      </c>
      <c r="S8" s="26">
        <f t="shared" si="13"/>
        <v>322.66883620500039</v>
      </c>
      <c r="T8" s="26">
        <f t="shared" si="13"/>
        <v>322.66883620500039</v>
      </c>
      <c r="U8" s="26">
        <f t="shared" si="13"/>
        <v>322.66883620500039</v>
      </c>
      <c r="V8" s="26">
        <f t="shared" si="13"/>
        <v>322.66883620500039</v>
      </c>
      <c r="W8" s="26">
        <f t="shared" si="13"/>
        <v>322.66883620500039</v>
      </c>
      <c r="X8" s="26">
        <f t="shared" si="13"/>
        <v>322.66883620500039</v>
      </c>
      <c r="Y8" s="26">
        <f t="shared" si="13"/>
        <v>322.66883620500039</v>
      </c>
      <c r="Z8" s="26">
        <f t="shared" si="13"/>
        <v>322.66883620500039</v>
      </c>
      <c r="AA8" s="26">
        <f>Z8</f>
        <v>322.66883620500039</v>
      </c>
      <c r="AB8" s="39">
        <f>AB3-AB4-AB5-AB6-AB7</f>
        <v>3872.0260344600047</v>
      </c>
      <c r="AC8" s="26">
        <f t="shared" si="14"/>
        <v>2088.4126910497093</v>
      </c>
      <c r="AD8" s="26">
        <f t="shared" ref="AD8:AN8" si="55">AC8</f>
        <v>2088.4126910497093</v>
      </c>
      <c r="AE8" s="26">
        <f t="shared" si="55"/>
        <v>2088.4126910497093</v>
      </c>
      <c r="AF8" s="26">
        <f t="shared" si="55"/>
        <v>2088.4126910497093</v>
      </c>
      <c r="AG8" s="26">
        <f t="shared" si="55"/>
        <v>2088.4126910497093</v>
      </c>
      <c r="AH8" s="26">
        <f t="shared" si="55"/>
        <v>2088.4126910497093</v>
      </c>
      <c r="AI8" s="26">
        <f t="shared" si="55"/>
        <v>2088.4126910497093</v>
      </c>
      <c r="AJ8" s="26">
        <f t="shared" si="55"/>
        <v>2088.4126910497093</v>
      </c>
      <c r="AK8" s="26">
        <f t="shared" si="55"/>
        <v>2088.4126910497093</v>
      </c>
      <c r="AL8" s="26">
        <f t="shared" si="55"/>
        <v>2088.4126910497093</v>
      </c>
      <c r="AM8" s="26">
        <f t="shared" si="55"/>
        <v>2088.4126910497093</v>
      </c>
      <c r="AN8" s="26">
        <f t="shared" si="55"/>
        <v>2088.4126910497093</v>
      </c>
      <c r="AO8" s="39">
        <f>AO3-AO4-AO5-AO6-AO7</f>
        <v>25060.95229259651</v>
      </c>
      <c r="AP8" s="26">
        <f t="shared" si="16"/>
        <v>3107.153973983377</v>
      </c>
      <c r="AQ8" s="26">
        <f t="shared" ref="AQ8:AZ8" si="56">AP8</f>
        <v>3107.153973983377</v>
      </c>
      <c r="AR8" s="26">
        <f t="shared" si="56"/>
        <v>3107.153973983377</v>
      </c>
      <c r="AS8" s="26">
        <f t="shared" si="56"/>
        <v>3107.153973983377</v>
      </c>
      <c r="AT8" s="26">
        <f t="shared" si="56"/>
        <v>3107.153973983377</v>
      </c>
      <c r="AU8" s="26">
        <f t="shared" si="56"/>
        <v>3107.153973983377</v>
      </c>
      <c r="AV8" s="26">
        <f t="shared" si="56"/>
        <v>3107.153973983377</v>
      </c>
      <c r="AW8" s="26">
        <f t="shared" si="56"/>
        <v>3107.153973983377</v>
      </c>
      <c r="AX8" s="26">
        <f t="shared" si="56"/>
        <v>3107.153973983377</v>
      </c>
      <c r="AY8" s="26">
        <f t="shared" si="56"/>
        <v>3107.153973983377</v>
      </c>
      <c r="AZ8" s="26">
        <f t="shared" si="56"/>
        <v>3107.153973983377</v>
      </c>
      <c r="BA8" s="26">
        <f>AZ8</f>
        <v>3107.153973983377</v>
      </c>
      <c r="BB8" s="175">
        <f t="shared" ref="BB8" si="57">BB3-BB4-BB5-BB6-BB7</f>
        <v>37285.847687800524</v>
      </c>
      <c r="BC8" s="181">
        <f>BC3-BC4-BC5-BC6</f>
        <v>4938.2478343526236</v>
      </c>
      <c r="BD8" s="181">
        <f t="shared" ref="BD8:BN8" si="58">BD3-BD4-BD5-BD6</f>
        <v>4938.2478343526236</v>
      </c>
      <c r="BE8" s="181">
        <f t="shared" si="58"/>
        <v>4938.2478343526236</v>
      </c>
      <c r="BF8" s="181">
        <f t="shared" si="58"/>
        <v>4938.2478343526236</v>
      </c>
      <c r="BG8" s="181">
        <f t="shared" si="58"/>
        <v>4938.2478343526236</v>
      </c>
      <c r="BH8" s="181">
        <f t="shared" si="58"/>
        <v>4938.2478343526236</v>
      </c>
      <c r="BI8" s="181">
        <f t="shared" si="58"/>
        <v>4938.2478343526236</v>
      </c>
      <c r="BJ8" s="181">
        <f t="shared" si="58"/>
        <v>4938.2478343526236</v>
      </c>
      <c r="BK8" s="181">
        <f t="shared" si="58"/>
        <v>4938.2478343526236</v>
      </c>
      <c r="BL8" s="181">
        <f t="shared" si="58"/>
        <v>4938.2478343526236</v>
      </c>
      <c r="BM8" s="181">
        <f t="shared" si="58"/>
        <v>4938.2478343526236</v>
      </c>
      <c r="BN8" s="181">
        <f t="shared" si="58"/>
        <v>4938.2478343526236</v>
      </c>
      <c r="BO8" s="186">
        <f t="shared" ref="BO8" si="59">BO3-BO4-BO5-BO6-BO7</f>
        <v>50567.549641417543</v>
      </c>
      <c r="BP8" s="181">
        <f t="shared" si="19"/>
        <v>4288.997437327851</v>
      </c>
      <c r="BQ8" s="182">
        <f>BP8</f>
        <v>4288.997437327851</v>
      </c>
      <c r="BR8" s="185">
        <f t="shared" ref="BR8:CA8" si="60">BQ8</f>
        <v>4288.997437327851</v>
      </c>
      <c r="BS8" s="185">
        <f t="shared" si="60"/>
        <v>4288.997437327851</v>
      </c>
      <c r="BT8" s="185">
        <f t="shared" si="60"/>
        <v>4288.997437327851</v>
      </c>
      <c r="BU8" s="185">
        <f t="shared" si="60"/>
        <v>4288.997437327851</v>
      </c>
      <c r="BV8" s="185">
        <f t="shared" si="60"/>
        <v>4288.997437327851</v>
      </c>
      <c r="BW8" s="185">
        <f t="shared" si="60"/>
        <v>4288.997437327851</v>
      </c>
      <c r="BX8" s="185">
        <f t="shared" si="60"/>
        <v>4288.997437327851</v>
      </c>
      <c r="BY8" s="185">
        <f t="shared" si="60"/>
        <v>4288.997437327851</v>
      </c>
      <c r="BZ8" s="185">
        <f t="shared" si="60"/>
        <v>4288.997437327851</v>
      </c>
      <c r="CA8" s="185">
        <f t="shared" si="60"/>
        <v>4288.997437327851</v>
      </c>
      <c r="CB8" s="186">
        <f t="shared" ref="CB8" si="61">CB3-CB4-CB5-CB6-CB7</f>
        <v>51467.969247934212</v>
      </c>
      <c r="CC8" s="181">
        <f t="shared" si="30"/>
        <v>4447.0157789840978</v>
      </c>
      <c r="CD8" s="182">
        <f>CC8</f>
        <v>4447.0157789840978</v>
      </c>
      <c r="CE8" s="185">
        <f t="shared" ref="CE8:CN8" si="62">CD8</f>
        <v>4447.0157789840978</v>
      </c>
      <c r="CF8" s="185">
        <f t="shared" si="62"/>
        <v>4447.0157789840978</v>
      </c>
      <c r="CG8" s="185">
        <f t="shared" si="62"/>
        <v>4447.0157789840978</v>
      </c>
      <c r="CH8" s="185">
        <f t="shared" si="62"/>
        <v>4447.0157789840978</v>
      </c>
      <c r="CI8" s="185">
        <f t="shared" si="62"/>
        <v>4447.0157789840978</v>
      </c>
      <c r="CJ8" s="185">
        <f t="shared" si="62"/>
        <v>4447.0157789840978</v>
      </c>
      <c r="CK8" s="185">
        <f t="shared" si="62"/>
        <v>4447.0157789840978</v>
      </c>
      <c r="CL8" s="185">
        <f t="shared" si="62"/>
        <v>4447.0157789840978</v>
      </c>
      <c r="CM8" s="185">
        <f t="shared" si="62"/>
        <v>4447.0157789840978</v>
      </c>
      <c r="CN8" s="185">
        <f t="shared" si="62"/>
        <v>4447.0157789840978</v>
      </c>
      <c r="CO8" s="186">
        <f t="shared" ref="CO8" si="63">CO3-CO4-CO5-CO6-CO7</f>
        <v>53364.189347809173</v>
      </c>
      <c r="CP8" s="181">
        <f t="shared" si="32"/>
        <v>4645.7378936140021</v>
      </c>
      <c r="CQ8" s="182">
        <f>CP8</f>
        <v>4645.7378936140021</v>
      </c>
      <c r="CR8" s="185">
        <f t="shared" ref="CR8:DA8" si="64">CQ8</f>
        <v>4645.7378936140021</v>
      </c>
      <c r="CS8" s="185">
        <f t="shared" si="64"/>
        <v>4645.7378936140021</v>
      </c>
      <c r="CT8" s="185">
        <f t="shared" si="64"/>
        <v>4645.7378936140021</v>
      </c>
      <c r="CU8" s="185">
        <f t="shared" si="64"/>
        <v>4645.7378936140021</v>
      </c>
      <c r="CV8" s="185">
        <f t="shared" si="64"/>
        <v>4645.7378936140021</v>
      </c>
      <c r="CW8" s="185">
        <f t="shared" si="64"/>
        <v>4645.7378936140021</v>
      </c>
      <c r="CX8" s="185">
        <f t="shared" si="64"/>
        <v>4645.7378936140021</v>
      </c>
      <c r="CY8" s="185">
        <f t="shared" si="64"/>
        <v>4645.7378936140021</v>
      </c>
      <c r="CZ8" s="185">
        <f t="shared" si="64"/>
        <v>4645.7378936140021</v>
      </c>
      <c r="DA8" s="185">
        <f t="shared" si="64"/>
        <v>4645.7378936140021</v>
      </c>
      <c r="DB8" s="186">
        <f t="shared" ref="DB8" si="65">DB3-DB4-DB5-DB6-DB7</f>
        <v>55748.854723368029</v>
      </c>
      <c r="DC8" s="181">
        <f t="shared" si="34"/>
        <v>4798.0950133216347</v>
      </c>
      <c r="DD8" s="182">
        <f>DC8</f>
        <v>4798.0950133216347</v>
      </c>
      <c r="DE8" s="185">
        <f t="shared" ref="DE8:DN8" si="66">DD8</f>
        <v>4798.0950133216347</v>
      </c>
      <c r="DF8" s="185">
        <f t="shared" si="66"/>
        <v>4798.0950133216347</v>
      </c>
      <c r="DG8" s="185">
        <f t="shared" si="66"/>
        <v>4798.0950133216347</v>
      </c>
      <c r="DH8" s="185">
        <f t="shared" si="66"/>
        <v>4798.0950133216347</v>
      </c>
      <c r="DI8" s="185">
        <f t="shared" si="66"/>
        <v>4798.0950133216347</v>
      </c>
      <c r="DJ8" s="185">
        <f t="shared" si="66"/>
        <v>4798.0950133216347</v>
      </c>
      <c r="DK8" s="185">
        <f t="shared" si="66"/>
        <v>4798.0950133216347</v>
      </c>
      <c r="DL8" s="185">
        <f t="shared" si="66"/>
        <v>4798.0950133216347</v>
      </c>
      <c r="DM8" s="185">
        <f t="shared" si="66"/>
        <v>4798.0950133216347</v>
      </c>
      <c r="DN8" s="185">
        <f t="shared" si="66"/>
        <v>4798.0950133216347</v>
      </c>
      <c r="DO8" s="186">
        <f t="shared" ref="DO8" si="67">DO3-DO4-DO5-DO6-DO7</f>
        <v>57577.140159859613</v>
      </c>
    </row>
    <row r="9" spans="1:119" ht="18" thickTop="1" thickBot="1">
      <c r="A9" s="24"/>
      <c r="B9" s="43" t="s">
        <v>92</v>
      </c>
      <c r="C9" s="38"/>
      <c r="D9" s="38"/>
      <c r="E9" s="25"/>
      <c r="F9" s="25"/>
      <c r="G9" s="25"/>
      <c r="I9" s="38"/>
      <c r="J9" s="25"/>
      <c r="K9" s="49"/>
      <c r="L9" s="49">
        <f>O9</f>
        <v>-51000</v>
      </c>
      <c r="M9" s="307">
        <f>L9</f>
        <v>-51000</v>
      </c>
      <c r="N9" s="25">
        <f>M9</f>
        <v>-51000</v>
      </c>
      <c r="O9" s="86">
        <f>ОДД!C11</f>
        <v>-51000</v>
      </c>
      <c r="P9" s="26">
        <f>-AB9</f>
        <v>0</v>
      </c>
      <c r="Q9" s="26">
        <v>0</v>
      </c>
      <c r="R9" s="26">
        <f t="shared" si="13"/>
        <v>0</v>
      </c>
      <c r="S9" s="26">
        <f t="shared" si="13"/>
        <v>0</v>
      </c>
      <c r="T9" s="26">
        <f t="shared" si="13"/>
        <v>0</v>
      </c>
      <c r="U9" s="26">
        <f t="shared" si="13"/>
        <v>0</v>
      </c>
      <c r="V9" s="26">
        <f t="shared" si="13"/>
        <v>0</v>
      </c>
      <c r="W9" s="26">
        <f t="shared" si="13"/>
        <v>0</v>
      </c>
      <c r="X9" s="26">
        <f t="shared" si="13"/>
        <v>0</v>
      </c>
      <c r="Y9" s="26">
        <f t="shared" si="13"/>
        <v>0</v>
      </c>
      <c r="Z9" s="26">
        <f t="shared" si="13"/>
        <v>0</v>
      </c>
      <c r="AA9" s="26">
        <f t="shared" si="13"/>
        <v>0</v>
      </c>
      <c r="AB9" s="40">
        <f>ОДД!D11</f>
        <v>0</v>
      </c>
      <c r="AC9" s="26">
        <f t="shared" si="14"/>
        <v>0</v>
      </c>
      <c r="AD9" s="26">
        <f t="shared" ref="AD9:AN9" si="68">AC9</f>
        <v>0</v>
      </c>
      <c r="AE9" s="26">
        <f t="shared" si="68"/>
        <v>0</v>
      </c>
      <c r="AF9" s="26">
        <f t="shared" si="68"/>
        <v>0</v>
      </c>
      <c r="AG9" s="26">
        <f t="shared" si="68"/>
        <v>0</v>
      </c>
      <c r="AH9" s="26">
        <f t="shared" si="68"/>
        <v>0</v>
      </c>
      <c r="AI9" s="26">
        <f t="shared" si="68"/>
        <v>0</v>
      </c>
      <c r="AJ9" s="26">
        <f t="shared" si="68"/>
        <v>0</v>
      </c>
      <c r="AK9" s="26">
        <f t="shared" si="68"/>
        <v>0</v>
      </c>
      <c r="AL9" s="26">
        <f t="shared" si="68"/>
        <v>0</v>
      </c>
      <c r="AM9" s="26">
        <f t="shared" si="68"/>
        <v>0</v>
      </c>
      <c r="AN9" s="26">
        <f t="shared" si="68"/>
        <v>0</v>
      </c>
      <c r="AO9" s="40">
        <v>0</v>
      </c>
      <c r="AP9" s="26">
        <f t="shared" si="16"/>
        <v>0</v>
      </c>
      <c r="AQ9" s="26">
        <f t="shared" ref="AQ9:BA9" si="69">AP9</f>
        <v>0</v>
      </c>
      <c r="AR9" s="26">
        <f t="shared" si="69"/>
        <v>0</v>
      </c>
      <c r="AS9" s="26">
        <f t="shared" si="69"/>
        <v>0</v>
      </c>
      <c r="AT9" s="26">
        <f t="shared" si="69"/>
        <v>0</v>
      </c>
      <c r="AU9" s="26">
        <f t="shared" si="69"/>
        <v>0</v>
      </c>
      <c r="AV9" s="26">
        <f t="shared" si="69"/>
        <v>0</v>
      </c>
      <c r="AW9" s="26">
        <f t="shared" si="69"/>
        <v>0</v>
      </c>
      <c r="AX9" s="26">
        <f t="shared" si="69"/>
        <v>0</v>
      </c>
      <c r="AY9" s="26">
        <f t="shared" si="69"/>
        <v>0</v>
      </c>
      <c r="AZ9" s="26">
        <f t="shared" si="69"/>
        <v>0</v>
      </c>
      <c r="BA9" s="26">
        <f t="shared" si="69"/>
        <v>0</v>
      </c>
      <c r="BB9" s="176">
        <v>0</v>
      </c>
      <c r="BC9" s="181">
        <f t="shared" si="27"/>
        <v>0</v>
      </c>
      <c r="BD9" s="181">
        <f t="shared" ref="BD9:BD19" si="70">BP9/12</f>
        <v>0</v>
      </c>
      <c r="BE9" s="181">
        <f t="shared" ref="BE9:BE19" si="71">BQ9/12</f>
        <v>0</v>
      </c>
      <c r="BF9" s="181">
        <f t="shared" ref="BF9:BF19" si="72">BR9/12</f>
        <v>0</v>
      </c>
      <c r="BG9" s="181">
        <f t="shared" ref="BG9:BG19" si="73">BS9/12</f>
        <v>0</v>
      </c>
      <c r="BH9" s="181">
        <f t="shared" ref="BH9:BH19" si="74">BT9/12</f>
        <v>0</v>
      </c>
      <c r="BI9" s="181">
        <f t="shared" ref="BI9:BI19" si="75">BU9/12</f>
        <v>0</v>
      </c>
      <c r="BJ9" s="181">
        <f t="shared" ref="BJ9:BJ19" si="76">BV9/12</f>
        <v>0</v>
      </c>
      <c r="BK9" s="181">
        <f t="shared" ref="BK9:BK19" si="77">BW9/12</f>
        <v>0</v>
      </c>
      <c r="BL9" s="181">
        <f t="shared" ref="BL9:BL19" si="78">BX9/12</f>
        <v>0</v>
      </c>
      <c r="BM9" s="181">
        <f t="shared" ref="BM9:BM19" si="79">BY9/12</f>
        <v>0</v>
      </c>
      <c r="BN9" s="181">
        <f t="shared" ref="BN9:BN19" si="80">BZ9/12</f>
        <v>0</v>
      </c>
      <c r="BO9" s="176">
        <v>0</v>
      </c>
      <c r="BP9" s="181">
        <f t="shared" si="19"/>
        <v>0</v>
      </c>
      <c r="BQ9" s="182">
        <f t="shared" ref="BQ9" si="81">BP9</f>
        <v>0</v>
      </c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176">
        <v>0</v>
      </c>
      <c r="CC9" s="181">
        <f t="shared" si="30"/>
        <v>0</v>
      </c>
      <c r="CD9" s="182">
        <f t="shared" ref="CD9" si="82">CC9</f>
        <v>0</v>
      </c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176">
        <v>0</v>
      </c>
      <c r="CP9" s="181">
        <f t="shared" si="32"/>
        <v>0</v>
      </c>
      <c r="CQ9" s="182">
        <f t="shared" ref="CQ9" si="83">CP9</f>
        <v>0</v>
      </c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176">
        <v>0</v>
      </c>
      <c r="DC9" s="181">
        <f t="shared" si="34"/>
        <v>0</v>
      </c>
      <c r="DD9" s="182">
        <f t="shared" ref="DD9" si="84">DC9</f>
        <v>0</v>
      </c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176">
        <v>0</v>
      </c>
    </row>
    <row r="10" spans="1:119" ht="18" thickTop="1" thickBot="1">
      <c r="A10" s="24"/>
      <c r="B10" s="43" t="s">
        <v>93</v>
      </c>
      <c r="C10" s="38"/>
      <c r="D10" s="38"/>
      <c r="E10" s="26"/>
      <c r="F10" s="25"/>
      <c r="G10" s="25"/>
      <c r="H10" s="49"/>
      <c r="I10" s="38"/>
      <c r="J10" s="25"/>
      <c r="K10" s="25"/>
      <c r="L10" s="25"/>
      <c r="M10" s="25"/>
      <c r="N10" s="25"/>
      <c r="O10" s="40">
        <v>0</v>
      </c>
      <c r="P10" s="26">
        <f t="shared" si="12"/>
        <v>0</v>
      </c>
      <c r="Q10" s="26">
        <f t="shared" si="13"/>
        <v>0</v>
      </c>
      <c r="R10" s="26">
        <f t="shared" si="13"/>
        <v>0</v>
      </c>
      <c r="S10" s="26">
        <f t="shared" si="13"/>
        <v>0</v>
      </c>
      <c r="T10" s="26">
        <f t="shared" si="13"/>
        <v>0</v>
      </c>
      <c r="U10" s="26">
        <f t="shared" si="13"/>
        <v>0</v>
      </c>
      <c r="V10" s="26">
        <f t="shared" si="13"/>
        <v>0</v>
      </c>
      <c r="W10" s="26">
        <f t="shared" si="13"/>
        <v>0</v>
      </c>
      <c r="X10" s="26">
        <f t="shared" si="13"/>
        <v>0</v>
      </c>
      <c r="Y10" s="26">
        <f t="shared" si="13"/>
        <v>0</v>
      </c>
      <c r="Z10" s="26">
        <f t="shared" si="13"/>
        <v>0</v>
      </c>
      <c r="AA10" s="26">
        <f t="shared" si="13"/>
        <v>0</v>
      </c>
      <c r="AB10" s="40">
        <v>0</v>
      </c>
      <c r="AC10" s="26">
        <f t="shared" si="14"/>
        <v>0</v>
      </c>
      <c r="AD10" s="26">
        <f t="shared" ref="AD10:AN10" si="85">AC10</f>
        <v>0</v>
      </c>
      <c r="AE10" s="26">
        <f t="shared" si="85"/>
        <v>0</v>
      </c>
      <c r="AF10" s="26">
        <f t="shared" si="85"/>
        <v>0</v>
      </c>
      <c r="AG10" s="26">
        <f t="shared" si="85"/>
        <v>0</v>
      </c>
      <c r="AH10" s="26">
        <f t="shared" si="85"/>
        <v>0</v>
      </c>
      <c r="AI10" s="26">
        <f t="shared" si="85"/>
        <v>0</v>
      </c>
      <c r="AJ10" s="26">
        <f t="shared" si="85"/>
        <v>0</v>
      </c>
      <c r="AK10" s="26">
        <f t="shared" si="85"/>
        <v>0</v>
      </c>
      <c r="AL10" s="26">
        <f t="shared" si="85"/>
        <v>0</v>
      </c>
      <c r="AM10" s="26">
        <f t="shared" si="85"/>
        <v>0</v>
      </c>
      <c r="AN10" s="26">
        <f t="shared" si="85"/>
        <v>0</v>
      </c>
      <c r="AO10" s="40">
        <v>0</v>
      </c>
      <c r="AP10" s="26">
        <f t="shared" si="16"/>
        <v>0</v>
      </c>
      <c r="AQ10" s="26">
        <f t="shared" ref="AQ10:BA10" si="86">AP10</f>
        <v>0</v>
      </c>
      <c r="AR10" s="26">
        <f t="shared" si="86"/>
        <v>0</v>
      </c>
      <c r="AS10" s="26">
        <f t="shared" si="86"/>
        <v>0</v>
      </c>
      <c r="AT10" s="26">
        <f t="shared" si="86"/>
        <v>0</v>
      </c>
      <c r="AU10" s="26">
        <f t="shared" si="86"/>
        <v>0</v>
      </c>
      <c r="AV10" s="26">
        <f t="shared" si="86"/>
        <v>0</v>
      </c>
      <c r="AW10" s="26">
        <f t="shared" si="86"/>
        <v>0</v>
      </c>
      <c r="AX10" s="26">
        <f t="shared" si="86"/>
        <v>0</v>
      </c>
      <c r="AY10" s="26">
        <f t="shared" si="86"/>
        <v>0</v>
      </c>
      <c r="AZ10" s="26">
        <f t="shared" si="86"/>
        <v>0</v>
      </c>
      <c r="BA10" s="26">
        <f t="shared" si="86"/>
        <v>0</v>
      </c>
      <c r="BB10" s="176">
        <v>0</v>
      </c>
      <c r="BC10" s="181">
        <f t="shared" si="27"/>
        <v>0</v>
      </c>
      <c r="BD10" s="181">
        <f t="shared" si="70"/>
        <v>0</v>
      </c>
      <c r="BE10" s="181">
        <f t="shared" si="71"/>
        <v>0</v>
      </c>
      <c r="BF10" s="181">
        <f t="shared" si="72"/>
        <v>0</v>
      </c>
      <c r="BG10" s="181">
        <f t="shared" si="73"/>
        <v>0</v>
      </c>
      <c r="BH10" s="181">
        <f t="shared" si="74"/>
        <v>0</v>
      </c>
      <c r="BI10" s="181">
        <f t="shared" si="75"/>
        <v>0</v>
      </c>
      <c r="BJ10" s="181">
        <f t="shared" si="76"/>
        <v>0</v>
      </c>
      <c r="BK10" s="181">
        <f t="shared" si="77"/>
        <v>0</v>
      </c>
      <c r="BL10" s="181">
        <f t="shared" si="78"/>
        <v>0</v>
      </c>
      <c r="BM10" s="181">
        <f t="shared" si="79"/>
        <v>0</v>
      </c>
      <c r="BN10" s="181">
        <f t="shared" si="80"/>
        <v>0</v>
      </c>
      <c r="BO10" s="176">
        <v>0</v>
      </c>
      <c r="BP10" s="181">
        <f t="shared" si="19"/>
        <v>0</v>
      </c>
      <c r="BQ10" s="182">
        <f t="shared" ref="BQ10" si="87">BP10</f>
        <v>0</v>
      </c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176">
        <v>0</v>
      </c>
      <c r="CC10" s="181">
        <f t="shared" si="30"/>
        <v>0</v>
      </c>
      <c r="CD10" s="182">
        <f t="shared" ref="CD10" si="88">CC10</f>
        <v>0</v>
      </c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176">
        <v>0</v>
      </c>
      <c r="CP10" s="181">
        <f t="shared" si="32"/>
        <v>0</v>
      </c>
      <c r="CQ10" s="182">
        <f t="shared" ref="CQ10" si="89">CP10</f>
        <v>0</v>
      </c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176">
        <v>0</v>
      </c>
      <c r="DC10" s="181">
        <f t="shared" si="34"/>
        <v>0</v>
      </c>
      <c r="DD10" s="182">
        <f t="shared" ref="DD10" si="90">DC10</f>
        <v>0</v>
      </c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176">
        <v>0</v>
      </c>
    </row>
    <row r="11" spans="1:119" ht="53" thickTop="1" thickBot="1">
      <c r="A11" s="24"/>
      <c r="B11" s="4" t="s">
        <v>25</v>
      </c>
      <c r="C11" s="38"/>
      <c r="D11" s="38"/>
      <c r="E11" s="25"/>
      <c r="F11" s="25"/>
      <c r="G11" s="25"/>
      <c r="I11" s="38"/>
      <c r="J11" s="25"/>
      <c r="K11" s="49"/>
      <c r="L11" s="49">
        <f>O11</f>
        <v>-51000</v>
      </c>
      <c r="M11" s="25"/>
      <c r="N11" s="25"/>
      <c r="O11" s="86">
        <f>O9+O10</f>
        <v>-51000</v>
      </c>
      <c r="P11" s="26">
        <f>P9</f>
        <v>0</v>
      </c>
      <c r="Q11" s="26">
        <v>0</v>
      </c>
      <c r="R11" s="26">
        <f t="shared" si="13"/>
        <v>0</v>
      </c>
      <c r="S11" s="26">
        <f t="shared" si="13"/>
        <v>0</v>
      </c>
      <c r="T11" s="26">
        <f t="shared" si="13"/>
        <v>0</v>
      </c>
      <c r="U11" s="26">
        <f t="shared" si="13"/>
        <v>0</v>
      </c>
      <c r="V11" s="26">
        <f t="shared" si="13"/>
        <v>0</v>
      </c>
      <c r="W11" s="26">
        <f t="shared" si="13"/>
        <v>0</v>
      </c>
      <c r="X11" s="26">
        <f t="shared" si="13"/>
        <v>0</v>
      </c>
      <c r="Y11" s="26">
        <f t="shared" si="13"/>
        <v>0</v>
      </c>
      <c r="Z11" s="26">
        <f t="shared" si="13"/>
        <v>0</v>
      </c>
      <c r="AA11" s="26">
        <f t="shared" si="13"/>
        <v>0</v>
      </c>
      <c r="AB11" s="86">
        <f t="shared" ref="AB11" si="91">AB9+AB10</f>
        <v>0</v>
      </c>
      <c r="AC11" s="26">
        <f t="shared" si="14"/>
        <v>0</v>
      </c>
      <c r="AD11" s="26">
        <f t="shared" ref="AD11:AN11" si="92">AC11</f>
        <v>0</v>
      </c>
      <c r="AE11" s="26">
        <f t="shared" si="92"/>
        <v>0</v>
      </c>
      <c r="AF11" s="26">
        <f t="shared" si="92"/>
        <v>0</v>
      </c>
      <c r="AG11" s="26">
        <f t="shared" si="92"/>
        <v>0</v>
      </c>
      <c r="AH11" s="26">
        <f t="shared" si="92"/>
        <v>0</v>
      </c>
      <c r="AI11" s="26">
        <f t="shared" si="92"/>
        <v>0</v>
      </c>
      <c r="AJ11" s="26">
        <f t="shared" si="92"/>
        <v>0</v>
      </c>
      <c r="AK11" s="26">
        <f t="shared" si="92"/>
        <v>0</v>
      </c>
      <c r="AL11" s="26">
        <f t="shared" si="92"/>
        <v>0</v>
      </c>
      <c r="AM11" s="26">
        <f t="shared" si="92"/>
        <v>0</v>
      </c>
      <c r="AN11" s="26">
        <f t="shared" si="92"/>
        <v>0</v>
      </c>
      <c r="AO11" s="86">
        <v>0</v>
      </c>
      <c r="AP11" s="26">
        <f t="shared" si="16"/>
        <v>0</v>
      </c>
      <c r="AQ11" s="26">
        <f t="shared" ref="AQ11:BA11" si="93">AP11</f>
        <v>0</v>
      </c>
      <c r="AR11" s="26">
        <f t="shared" si="93"/>
        <v>0</v>
      </c>
      <c r="AS11" s="26">
        <f t="shared" si="93"/>
        <v>0</v>
      </c>
      <c r="AT11" s="26">
        <f t="shared" si="93"/>
        <v>0</v>
      </c>
      <c r="AU11" s="26">
        <f t="shared" si="93"/>
        <v>0</v>
      </c>
      <c r="AV11" s="26">
        <f t="shared" si="93"/>
        <v>0</v>
      </c>
      <c r="AW11" s="26">
        <f t="shared" si="93"/>
        <v>0</v>
      </c>
      <c r="AX11" s="26">
        <f t="shared" si="93"/>
        <v>0</v>
      </c>
      <c r="AY11" s="26">
        <f t="shared" si="93"/>
        <v>0</v>
      </c>
      <c r="AZ11" s="26">
        <f t="shared" si="93"/>
        <v>0</v>
      </c>
      <c r="BA11" s="26">
        <f t="shared" si="93"/>
        <v>0</v>
      </c>
      <c r="BB11" s="177">
        <v>0</v>
      </c>
      <c r="BC11" s="181">
        <f t="shared" si="27"/>
        <v>0</v>
      </c>
      <c r="BD11" s="181">
        <f t="shared" si="70"/>
        <v>0</v>
      </c>
      <c r="BE11" s="181">
        <f t="shared" si="71"/>
        <v>0</v>
      </c>
      <c r="BF11" s="181">
        <f t="shared" si="72"/>
        <v>0</v>
      </c>
      <c r="BG11" s="181">
        <f t="shared" si="73"/>
        <v>0</v>
      </c>
      <c r="BH11" s="181">
        <f t="shared" si="74"/>
        <v>0</v>
      </c>
      <c r="BI11" s="181">
        <f t="shared" si="75"/>
        <v>0</v>
      </c>
      <c r="BJ11" s="181">
        <f t="shared" si="76"/>
        <v>0</v>
      </c>
      <c r="BK11" s="181">
        <f t="shared" si="77"/>
        <v>0</v>
      </c>
      <c r="BL11" s="181">
        <f t="shared" si="78"/>
        <v>0</v>
      </c>
      <c r="BM11" s="181">
        <f t="shared" si="79"/>
        <v>0</v>
      </c>
      <c r="BN11" s="181">
        <f t="shared" si="80"/>
        <v>0</v>
      </c>
      <c r="BO11" s="177">
        <v>0</v>
      </c>
      <c r="BP11" s="181">
        <f t="shared" si="19"/>
        <v>0</v>
      </c>
      <c r="BQ11" s="182">
        <f t="shared" ref="BQ11" si="94">BP11</f>
        <v>0</v>
      </c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177">
        <v>0</v>
      </c>
      <c r="CC11" s="181">
        <f t="shared" si="30"/>
        <v>0</v>
      </c>
      <c r="CD11" s="182">
        <f t="shared" ref="CD11" si="95">CC11</f>
        <v>0</v>
      </c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177">
        <v>0</v>
      </c>
      <c r="CP11" s="181">
        <f t="shared" si="32"/>
        <v>0</v>
      </c>
      <c r="CQ11" s="182">
        <f t="shared" ref="CQ11" si="96">CP11</f>
        <v>0</v>
      </c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177">
        <v>0</v>
      </c>
      <c r="DC11" s="181">
        <f t="shared" si="34"/>
        <v>0</v>
      </c>
      <c r="DD11" s="182">
        <f t="shared" ref="DD11" si="97">DC11</f>
        <v>0</v>
      </c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177">
        <v>0</v>
      </c>
    </row>
    <row r="12" spans="1:119" ht="19" thickTop="1" thickBot="1">
      <c r="A12" s="24"/>
      <c r="B12" s="25" t="s">
        <v>26</v>
      </c>
      <c r="C12" s="38"/>
      <c r="D12" s="38"/>
      <c r="E12" s="25"/>
      <c r="F12" s="25"/>
      <c r="G12" s="25"/>
      <c r="H12" s="25">
        <v>98800</v>
      </c>
      <c r="I12" s="38">
        <v>0</v>
      </c>
      <c r="J12" s="25">
        <v>0</v>
      </c>
      <c r="K12" s="49">
        <v>0</v>
      </c>
      <c r="L12" s="49">
        <v>0</v>
      </c>
      <c r="M12" s="25">
        <v>0</v>
      </c>
      <c r="N12" s="25">
        <v>0</v>
      </c>
      <c r="O12" s="86">
        <f>ОДД!C13</f>
        <v>98000</v>
      </c>
      <c r="P12" s="26">
        <f t="shared" si="12"/>
        <v>0</v>
      </c>
      <c r="Q12" s="26">
        <f t="shared" si="13"/>
        <v>0</v>
      </c>
      <c r="R12" s="26">
        <f t="shared" si="13"/>
        <v>0</v>
      </c>
      <c r="S12" s="26">
        <f t="shared" si="13"/>
        <v>0</v>
      </c>
      <c r="T12" s="26">
        <f t="shared" si="13"/>
        <v>0</v>
      </c>
      <c r="U12" s="26">
        <f t="shared" si="13"/>
        <v>0</v>
      </c>
      <c r="V12" s="26">
        <f t="shared" si="13"/>
        <v>0</v>
      </c>
      <c r="W12" s="26">
        <f t="shared" si="13"/>
        <v>0</v>
      </c>
      <c r="X12" s="26">
        <f t="shared" si="13"/>
        <v>0</v>
      </c>
      <c r="Y12" s="26">
        <f t="shared" si="13"/>
        <v>0</v>
      </c>
      <c r="Z12" s="26">
        <f t="shared" si="13"/>
        <v>0</v>
      </c>
      <c r="AA12" s="26">
        <f t="shared" si="13"/>
        <v>0</v>
      </c>
      <c r="AB12" s="86">
        <v>0</v>
      </c>
      <c r="AC12" s="26">
        <f t="shared" si="14"/>
        <v>0</v>
      </c>
      <c r="AD12" s="26">
        <f t="shared" ref="AD12:AN12" si="98">AC12</f>
        <v>0</v>
      </c>
      <c r="AE12" s="26">
        <f t="shared" si="98"/>
        <v>0</v>
      </c>
      <c r="AF12" s="26">
        <f t="shared" si="98"/>
        <v>0</v>
      </c>
      <c r="AG12" s="26">
        <f t="shared" si="98"/>
        <v>0</v>
      </c>
      <c r="AH12" s="26">
        <f t="shared" si="98"/>
        <v>0</v>
      </c>
      <c r="AI12" s="26">
        <f t="shared" si="98"/>
        <v>0</v>
      </c>
      <c r="AJ12" s="26">
        <f t="shared" si="98"/>
        <v>0</v>
      </c>
      <c r="AK12" s="26">
        <f t="shared" si="98"/>
        <v>0</v>
      </c>
      <c r="AL12" s="26">
        <f t="shared" si="98"/>
        <v>0</v>
      </c>
      <c r="AM12" s="26">
        <f t="shared" si="98"/>
        <v>0</v>
      </c>
      <c r="AN12" s="26">
        <f t="shared" si="98"/>
        <v>0</v>
      </c>
      <c r="AO12" s="86">
        <v>0</v>
      </c>
      <c r="AP12" s="26">
        <f t="shared" si="16"/>
        <v>0</v>
      </c>
      <c r="AQ12" s="26">
        <f t="shared" ref="AQ12:BA12" si="99">AP12</f>
        <v>0</v>
      </c>
      <c r="AR12" s="26">
        <f t="shared" si="99"/>
        <v>0</v>
      </c>
      <c r="AS12" s="26">
        <f t="shared" si="99"/>
        <v>0</v>
      </c>
      <c r="AT12" s="26">
        <f t="shared" si="99"/>
        <v>0</v>
      </c>
      <c r="AU12" s="26">
        <f t="shared" si="99"/>
        <v>0</v>
      </c>
      <c r="AV12" s="26">
        <f t="shared" si="99"/>
        <v>0</v>
      </c>
      <c r="AW12" s="26">
        <f t="shared" si="99"/>
        <v>0</v>
      </c>
      <c r="AX12" s="26">
        <f t="shared" si="99"/>
        <v>0</v>
      </c>
      <c r="AY12" s="26">
        <f t="shared" si="99"/>
        <v>0</v>
      </c>
      <c r="AZ12" s="26">
        <f t="shared" si="99"/>
        <v>0</v>
      </c>
      <c r="BA12" s="26">
        <f t="shared" si="99"/>
        <v>0</v>
      </c>
      <c r="BB12" s="177">
        <v>0</v>
      </c>
      <c r="BC12" s="181">
        <f t="shared" si="27"/>
        <v>0</v>
      </c>
      <c r="BD12" s="181">
        <f t="shared" si="70"/>
        <v>0</v>
      </c>
      <c r="BE12" s="181">
        <f t="shared" si="71"/>
        <v>0</v>
      </c>
      <c r="BF12" s="181">
        <f t="shared" si="72"/>
        <v>0</v>
      </c>
      <c r="BG12" s="181">
        <f t="shared" si="73"/>
        <v>0</v>
      </c>
      <c r="BH12" s="181">
        <f t="shared" si="74"/>
        <v>0</v>
      </c>
      <c r="BI12" s="181">
        <f t="shared" si="75"/>
        <v>0</v>
      </c>
      <c r="BJ12" s="181">
        <f t="shared" si="76"/>
        <v>0</v>
      </c>
      <c r="BK12" s="181">
        <f t="shared" si="77"/>
        <v>0</v>
      </c>
      <c r="BL12" s="181">
        <f t="shared" si="78"/>
        <v>0</v>
      </c>
      <c r="BM12" s="181">
        <f t="shared" si="79"/>
        <v>0</v>
      </c>
      <c r="BN12" s="181">
        <f t="shared" si="80"/>
        <v>0</v>
      </c>
      <c r="BO12" s="177">
        <v>0</v>
      </c>
      <c r="BP12" s="181">
        <f t="shared" si="19"/>
        <v>0</v>
      </c>
      <c r="BQ12" s="182">
        <f t="shared" ref="BQ12" si="100">BP12</f>
        <v>0</v>
      </c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177">
        <v>0</v>
      </c>
      <c r="CC12" s="181">
        <f t="shared" si="30"/>
        <v>0</v>
      </c>
      <c r="CD12" s="182">
        <f t="shared" ref="CD12" si="101">CC12</f>
        <v>0</v>
      </c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177">
        <v>0</v>
      </c>
      <c r="CP12" s="181">
        <f t="shared" si="32"/>
        <v>0</v>
      </c>
      <c r="CQ12" s="182">
        <f t="shared" ref="CQ12" si="102">CP12</f>
        <v>0</v>
      </c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177">
        <v>0</v>
      </c>
      <c r="DC12" s="181">
        <f t="shared" si="34"/>
        <v>0</v>
      </c>
      <c r="DD12" s="182">
        <f t="shared" ref="DD12" si="103">DC12</f>
        <v>0</v>
      </c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177">
        <v>0</v>
      </c>
    </row>
    <row r="13" spans="1:119" ht="19" thickTop="1" thickBot="1">
      <c r="A13" s="24"/>
      <c r="B13" s="25" t="s">
        <v>27</v>
      </c>
      <c r="C13" s="38"/>
      <c r="D13" s="38"/>
      <c r="E13" s="25"/>
      <c r="G13" s="25">
        <v>0</v>
      </c>
      <c r="H13" s="25">
        <v>0</v>
      </c>
      <c r="I13" s="38">
        <f>$O$13/5</f>
        <v>1221.8213333333333</v>
      </c>
      <c r="J13" s="38">
        <f t="shared" ref="J13:N13" si="104">$O$13/5</f>
        <v>1221.8213333333333</v>
      </c>
      <c r="K13" s="38">
        <f t="shared" si="104"/>
        <v>1221.8213333333333</v>
      </c>
      <c r="L13" s="38">
        <f t="shared" si="104"/>
        <v>1221.8213333333333</v>
      </c>
      <c r="M13" s="38">
        <f t="shared" si="104"/>
        <v>1221.8213333333333</v>
      </c>
      <c r="N13" s="38">
        <f t="shared" si="104"/>
        <v>1221.8213333333333</v>
      </c>
      <c r="O13" s="86">
        <f>ОДД!C14</f>
        <v>6109.1066666666666</v>
      </c>
      <c r="P13" s="26">
        <f t="shared" si="12"/>
        <v>745.96222222222207</v>
      </c>
      <c r="Q13" s="26">
        <f t="shared" si="13"/>
        <v>745.96222222222207</v>
      </c>
      <c r="R13" s="26">
        <f t="shared" si="13"/>
        <v>745.96222222222207</v>
      </c>
      <c r="S13" s="26">
        <f t="shared" si="13"/>
        <v>745.96222222222207</v>
      </c>
      <c r="T13" s="26">
        <f t="shared" si="13"/>
        <v>745.96222222222207</v>
      </c>
      <c r="U13" s="26">
        <f t="shared" si="13"/>
        <v>745.96222222222207</v>
      </c>
      <c r="V13" s="26">
        <f t="shared" si="13"/>
        <v>745.96222222222207</v>
      </c>
      <c r="W13" s="26">
        <f t="shared" si="13"/>
        <v>745.96222222222207</v>
      </c>
      <c r="X13" s="26">
        <f t="shared" si="13"/>
        <v>745.96222222222207</v>
      </c>
      <c r="Y13" s="26">
        <f t="shared" si="13"/>
        <v>745.96222222222207</v>
      </c>
      <c r="Z13" s="26">
        <f t="shared" si="13"/>
        <v>745.96222222222207</v>
      </c>
      <c r="AA13" s="26">
        <f t="shared" si="13"/>
        <v>745.96222222222207</v>
      </c>
      <c r="AB13" s="86">
        <f>ОДД!D14</f>
        <v>8951.5466666666653</v>
      </c>
      <c r="AC13" s="26">
        <f t="shared" si="14"/>
        <v>745.96222222222207</v>
      </c>
      <c r="AD13" s="26">
        <f t="shared" ref="AD13:AN13" si="105">AC13</f>
        <v>745.96222222222207</v>
      </c>
      <c r="AE13" s="26">
        <f t="shared" si="105"/>
        <v>745.96222222222207</v>
      </c>
      <c r="AF13" s="26">
        <f t="shared" si="105"/>
        <v>745.96222222222207</v>
      </c>
      <c r="AG13" s="26">
        <f t="shared" si="105"/>
        <v>745.96222222222207</v>
      </c>
      <c r="AH13" s="26">
        <f t="shared" si="105"/>
        <v>745.96222222222207</v>
      </c>
      <c r="AI13" s="26">
        <f t="shared" si="105"/>
        <v>745.96222222222207</v>
      </c>
      <c r="AJ13" s="26">
        <f t="shared" si="105"/>
        <v>745.96222222222207</v>
      </c>
      <c r="AK13" s="26">
        <f t="shared" si="105"/>
        <v>745.96222222222207</v>
      </c>
      <c r="AL13" s="26">
        <f t="shared" si="105"/>
        <v>745.96222222222207</v>
      </c>
      <c r="AM13" s="26">
        <f t="shared" si="105"/>
        <v>745.96222222222207</v>
      </c>
      <c r="AN13" s="26">
        <f t="shared" si="105"/>
        <v>745.96222222222207</v>
      </c>
      <c r="AO13" s="86">
        <f>ОДД!E14</f>
        <v>8951.5466666666653</v>
      </c>
      <c r="AP13" s="26">
        <f t="shared" si="16"/>
        <v>745.96222222222207</v>
      </c>
      <c r="AQ13" s="26">
        <f t="shared" ref="AQ13:BA13" si="106">AP13</f>
        <v>745.96222222222207</v>
      </c>
      <c r="AR13" s="26">
        <f t="shared" si="106"/>
        <v>745.96222222222207</v>
      </c>
      <c r="AS13" s="26">
        <f t="shared" si="106"/>
        <v>745.96222222222207</v>
      </c>
      <c r="AT13" s="26">
        <f t="shared" si="106"/>
        <v>745.96222222222207</v>
      </c>
      <c r="AU13" s="26">
        <f t="shared" si="106"/>
        <v>745.96222222222207</v>
      </c>
      <c r="AV13" s="26">
        <f t="shared" si="106"/>
        <v>745.96222222222207</v>
      </c>
      <c r="AW13" s="26">
        <f t="shared" si="106"/>
        <v>745.96222222222207</v>
      </c>
      <c r="AX13" s="26">
        <f t="shared" si="106"/>
        <v>745.96222222222207</v>
      </c>
      <c r="AY13" s="26">
        <f t="shared" si="106"/>
        <v>745.96222222222207</v>
      </c>
      <c r="AZ13" s="26">
        <f t="shared" si="106"/>
        <v>745.96222222222207</v>
      </c>
      <c r="BA13" s="26">
        <f t="shared" si="106"/>
        <v>745.96222222222207</v>
      </c>
      <c r="BB13" s="177">
        <f>ОДД!F14</f>
        <v>8951.5466666666653</v>
      </c>
      <c r="BC13" s="181">
        <f t="shared" si="27"/>
        <v>0</v>
      </c>
      <c r="BD13" s="181">
        <f t="shared" si="70"/>
        <v>0</v>
      </c>
      <c r="BE13" s="181">
        <f t="shared" si="71"/>
        <v>0</v>
      </c>
      <c r="BF13" s="181">
        <f t="shared" si="72"/>
        <v>0</v>
      </c>
      <c r="BG13" s="181">
        <f t="shared" si="73"/>
        <v>0</v>
      </c>
      <c r="BH13" s="181">
        <f t="shared" si="74"/>
        <v>0</v>
      </c>
      <c r="BI13" s="181">
        <f t="shared" si="75"/>
        <v>0</v>
      </c>
      <c r="BJ13" s="181">
        <f t="shared" si="76"/>
        <v>0</v>
      </c>
      <c r="BK13" s="181">
        <f t="shared" si="77"/>
        <v>0</v>
      </c>
      <c r="BL13" s="181">
        <f t="shared" si="78"/>
        <v>0</v>
      </c>
      <c r="BM13" s="181">
        <f t="shared" si="79"/>
        <v>0</v>
      </c>
      <c r="BN13" s="181">
        <f t="shared" si="80"/>
        <v>0</v>
      </c>
      <c r="BO13" s="177">
        <f>ОДД!Q14</f>
        <v>0</v>
      </c>
      <c r="BP13" s="181">
        <f t="shared" si="19"/>
        <v>0</v>
      </c>
      <c r="BQ13" s="182">
        <f t="shared" ref="BQ13" si="107">BP13</f>
        <v>0</v>
      </c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177">
        <f>ОДД!AD14</f>
        <v>0</v>
      </c>
      <c r="CC13" s="181">
        <f t="shared" si="30"/>
        <v>0</v>
      </c>
      <c r="CD13" s="182">
        <f t="shared" ref="CD13" si="108">CC13</f>
        <v>0</v>
      </c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177">
        <f>ОДД!AQ14</f>
        <v>0</v>
      </c>
      <c r="CP13" s="181">
        <f t="shared" si="32"/>
        <v>0</v>
      </c>
      <c r="CQ13" s="182">
        <f t="shared" ref="CQ13" si="109">CP13</f>
        <v>0</v>
      </c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177">
        <f>ОДД!BD14</f>
        <v>0</v>
      </c>
      <c r="DC13" s="181">
        <f t="shared" si="34"/>
        <v>0</v>
      </c>
      <c r="DD13" s="182">
        <f t="shared" ref="DD13" si="110">DC13</f>
        <v>0</v>
      </c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177">
        <f>ОДД!BQ14</f>
        <v>0</v>
      </c>
    </row>
    <row r="14" spans="1:119" ht="36" thickTop="1" thickBot="1">
      <c r="A14" s="24"/>
      <c r="B14" s="25" t="s">
        <v>37</v>
      </c>
      <c r="C14" s="38"/>
      <c r="D14" s="38"/>
      <c r="E14" s="25"/>
      <c r="G14" s="49">
        <v>0</v>
      </c>
      <c r="H14" s="49"/>
      <c r="I14" s="49">
        <f>$O$14/5</f>
        <v>203.52600000000001</v>
      </c>
      <c r="J14" s="49">
        <f>I14</f>
        <v>203.52600000000001</v>
      </c>
      <c r="K14" s="32">
        <f>J14</f>
        <v>203.52600000000001</v>
      </c>
      <c r="L14" s="49">
        <f>K14</f>
        <v>203.52600000000001</v>
      </c>
      <c r="M14" s="49">
        <f>L14</f>
        <v>203.52600000000001</v>
      </c>
      <c r="N14" s="49">
        <f>M14</f>
        <v>203.52600000000001</v>
      </c>
      <c r="O14" s="86">
        <f>ОДД!C15</f>
        <v>1017.6300000000001</v>
      </c>
      <c r="P14" s="26">
        <f t="shared" si="12"/>
        <v>162.68416666666667</v>
      </c>
      <c r="Q14" s="26">
        <f t="shared" si="13"/>
        <v>162.68416666666667</v>
      </c>
      <c r="R14" s="26">
        <f t="shared" si="13"/>
        <v>162.68416666666667</v>
      </c>
      <c r="S14" s="26">
        <f t="shared" si="13"/>
        <v>162.68416666666667</v>
      </c>
      <c r="T14" s="26">
        <f t="shared" si="13"/>
        <v>162.68416666666667</v>
      </c>
      <c r="U14" s="26">
        <f t="shared" si="13"/>
        <v>162.68416666666667</v>
      </c>
      <c r="V14" s="26">
        <f t="shared" si="13"/>
        <v>162.68416666666667</v>
      </c>
      <c r="W14" s="26">
        <f t="shared" si="13"/>
        <v>162.68416666666667</v>
      </c>
      <c r="X14" s="26">
        <f t="shared" si="13"/>
        <v>162.68416666666667</v>
      </c>
      <c r="Y14" s="26">
        <f t="shared" si="13"/>
        <v>162.68416666666667</v>
      </c>
      <c r="Z14" s="26">
        <f t="shared" si="13"/>
        <v>162.68416666666667</v>
      </c>
      <c r="AA14" s="26">
        <f t="shared" si="13"/>
        <v>162.68416666666667</v>
      </c>
      <c r="AB14" s="86">
        <f>ОДД!D15</f>
        <v>1952.21</v>
      </c>
      <c r="AC14" s="26">
        <f t="shared" si="14"/>
        <v>153.22166666666666</v>
      </c>
      <c r="AD14" s="26">
        <f t="shared" ref="AD14:AN14" si="111">AC14</f>
        <v>153.22166666666666</v>
      </c>
      <c r="AE14" s="26">
        <f t="shared" si="111"/>
        <v>153.22166666666666</v>
      </c>
      <c r="AF14" s="26">
        <f t="shared" si="111"/>
        <v>153.22166666666666</v>
      </c>
      <c r="AG14" s="26">
        <f t="shared" si="111"/>
        <v>153.22166666666666</v>
      </c>
      <c r="AH14" s="26">
        <f t="shared" si="111"/>
        <v>153.22166666666666</v>
      </c>
      <c r="AI14" s="26">
        <f t="shared" si="111"/>
        <v>153.22166666666666</v>
      </c>
      <c r="AJ14" s="26">
        <f t="shared" si="111"/>
        <v>153.22166666666666</v>
      </c>
      <c r="AK14" s="26">
        <f t="shared" si="111"/>
        <v>153.22166666666666</v>
      </c>
      <c r="AL14" s="26">
        <f t="shared" si="111"/>
        <v>153.22166666666666</v>
      </c>
      <c r="AM14" s="26">
        <f t="shared" si="111"/>
        <v>153.22166666666666</v>
      </c>
      <c r="AN14" s="26">
        <f t="shared" si="111"/>
        <v>153.22166666666666</v>
      </c>
      <c r="AO14" s="86">
        <f>ОДД!E15</f>
        <v>1838.66</v>
      </c>
      <c r="AP14" s="26">
        <f t="shared" si="16"/>
        <v>143.47416666666666</v>
      </c>
      <c r="AQ14" s="26">
        <f t="shared" ref="AQ14:BA14" si="112">AP14</f>
        <v>143.47416666666666</v>
      </c>
      <c r="AR14" s="26">
        <f t="shared" si="112"/>
        <v>143.47416666666666</v>
      </c>
      <c r="AS14" s="26">
        <f t="shared" si="112"/>
        <v>143.47416666666666</v>
      </c>
      <c r="AT14" s="26">
        <f t="shared" si="112"/>
        <v>143.47416666666666</v>
      </c>
      <c r="AU14" s="26">
        <f t="shared" si="112"/>
        <v>143.47416666666666</v>
      </c>
      <c r="AV14" s="26">
        <f t="shared" si="112"/>
        <v>143.47416666666666</v>
      </c>
      <c r="AW14" s="26">
        <f t="shared" si="112"/>
        <v>143.47416666666666</v>
      </c>
      <c r="AX14" s="26">
        <f t="shared" si="112"/>
        <v>143.47416666666666</v>
      </c>
      <c r="AY14" s="26">
        <f t="shared" si="112"/>
        <v>143.47416666666666</v>
      </c>
      <c r="AZ14" s="26">
        <f t="shared" si="112"/>
        <v>143.47416666666666</v>
      </c>
      <c r="BA14" s="26">
        <f t="shared" si="112"/>
        <v>143.47416666666666</v>
      </c>
      <c r="BB14" s="177">
        <f>ОДД!F15</f>
        <v>1721.69</v>
      </c>
      <c r="BC14" s="181">
        <f t="shared" si="27"/>
        <v>0</v>
      </c>
      <c r="BD14" s="181">
        <f t="shared" si="70"/>
        <v>0</v>
      </c>
      <c r="BE14" s="181">
        <f t="shared" si="71"/>
        <v>0</v>
      </c>
      <c r="BF14" s="181">
        <f t="shared" si="72"/>
        <v>0</v>
      </c>
      <c r="BG14" s="181">
        <f t="shared" si="73"/>
        <v>0</v>
      </c>
      <c r="BH14" s="181">
        <f t="shared" si="74"/>
        <v>0</v>
      </c>
      <c r="BI14" s="181">
        <f t="shared" si="75"/>
        <v>0</v>
      </c>
      <c r="BJ14" s="181">
        <f t="shared" si="76"/>
        <v>0</v>
      </c>
      <c r="BK14" s="181">
        <f t="shared" si="77"/>
        <v>0</v>
      </c>
      <c r="BL14" s="181">
        <f t="shared" si="78"/>
        <v>0</v>
      </c>
      <c r="BM14" s="181">
        <f t="shared" si="79"/>
        <v>0</v>
      </c>
      <c r="BN14" s="181">
        <f t="shared" si="80"/>
        <v>0</v>
      </c>
      <c r="BO14" s="177">
        <f>ОДД!Q15</f>
        <v>0</v>
      </c>
      <c r="BP14" s="181">
        <f t="shared" si="19"/>
        <v>0</v>
      </c>
      <c r="BQ14" s="182">
        <f t="shared" ref="BQ14" si="113">BP14</f>
        <v>0</v>
      </c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177">
        <f>ОДД!AD15</f>
        <v>0</v>
      </c>
      <c r="CC14" s="181">
        <f t="shared" si="30"/>
        <v>0</v>
      </c>
      <c r="CD14" s="182">
        <f t="shared" ref="CD14" si="114">CC14</f>
        <v>0</v>
      </c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177">
        <f>ОДД!AQ15</f>
        <v>0</v>
      </c>
      <c r="CP14" s="181">
        <f t="shared" si="32"/>
        <v>0</v>
      </c>
      <c r="CQ14" s="182">
        <f t="shared" ref="CQ14" si="115">CP14</f>
        <v>0</v>
      </c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177">
        <f>ОДД!BD15</f>
        <v>0</v>
      </c>
      <c r="DC14" s="181">
        <f t="shared" si="34"/>
        <v>0</v>
      </c>
      <c r="DD14" s="182">
        <f t="shared" ref="DD14" si="116">DC14</f>
        <v>0</v>
      </c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177">
        <f>ОДД!BQ15</f>
        <v>0</v>
      </c>
    </row>
    <row r="15" spans="1:119" ht="19" thickTop="1" thickBot="1">
      <c r="A15" s="24"/>
      <c r="B15" s="25" t="s">
        <v>28</v>
      </c>
      <c r="C15" s="38"/>
      <c r="D15" s="38"/>
      <c r="E15" s="25"/>
      <c r="F15" s="25"/>
      <c r="G15" s="25"/>
      <c r="H15" s="25"/>
      <c r="I15" s="38"/>
      <c r="J15" s="25"/>
      <c r="K15" s="25"/>
      <c r="L15" s="25"/>
      <c r="M15" s="25"/>
      <c r="N15" s="25"/>
      <c r="O15" s="86">
        <v>0</v>
      </c>
      <c r="P15" s="26">
        <f t="shared" si="12"/>
        <v>0</v>
      </c>
      <c r="Q15" s="26">
        <f t="shared" si="13"/>
        <v>0</v>
      </c>
      <c r="R15" s="26">
        <f t="shared" si="13"/>
        <v>0</v>
      </c>
      <c r="S15" s="26">
        <f t="shared" si="13"/>
        <v>0</v>
      </c>
      <c r="T15" s="26">
        <f t="shared" si="13"/>
        <v>0</v>
      </c>
      <c r="U15" s="26">
        <f t="shared" si="13"/>
        <v>0</v>
      </c>
      <c r="V15" s="26">
        <f t="shared" si="13"/>
        <v>0</v>
      </c>
      <c r="W15" s="26">
        <f t="shared" si="13"/>
        <v>0</v>
      </c>
      <c r="X15" s="26">
        <f t="shared" si="13"/>
        <v>0</v>
      </c>
      <c r="Y15" s="26">
        <f t="shared" si="13"/>
        <v>0</v>
      </c>
      <c r="Z15" s="26">
        <f t="shared" si="13"/>
        <v>0</v>
      </c>
      <c r="AA15" s="26">
        <f t="shared" si="13"/>
        <v>0</v>
      </c>
      <c r="AB15" s="86">
        <v>0</v>
      </c>
      <c r="AC15" s="26">
        <f t="shared" si="14"/>
        <v>0</v>
      </c>
      <c r="AD15" s="26">
        <f t="shared" ref="AD15:AN15" si="117">AC15</f>
        <v>0</v>
      </c>
      <c r="AE15" s="26">
        <f t="shared" si="117"/>
        <v>0</v>
      </c>
      <c r="AF15" s="26">
        <f t="shared" si="117"/>
        <v>0</v>
      </c>
      <c r="AG15" s="26">
        <f t="shared" si="117"/>
        <v>0</v>
      </c>
      <c r="AH15" s="26">
        <f t="shared" si="117"/>
        <v>0</v>
      </c>
      <c r="AI15" s="26">
        <f t="shared" si="117"/>
        <v>0</v>
      </c>
      <c r="AJ15" s="26">
        <f t="shared" si="117"/>
        <v>0</v>
      </c>
      <c r="AK15" s="26">
        <f t="shared" si="117"/>
        <v>0</v>
      </c>
      <c r="AL15" s="26">
        <f t="shared" si="117"/>
        <v>0</v>
      </c>
      <c r="AM15" s="26">
        <f t="shared" si="117"/>
        <v>0</v>
      </c>
      <c r="AN15" s="26">
        <f t="shared" si="117"/>
        <v>0</v>
      </c>
      <c r="AO15" s="86">
        <v>0</v>
      </c>
      <c r="AP15" s="26">
        <f t="shared" si="16"/>
        <v>0</v>
      </c>
      <c r="AQ15" s="26">
        <f t="shared" ref="AQ15:BA15" si="118">AP15</f>
        <v>0</v>
      </c>
      <c r="AR15" s="26">
        <f t="shared" si="118"/>
        <v>0</v>
      </c>
      <c r="AS15" s="26">
        <f t="shared" si="118"/>
        <v>0</v>
      </c>
      <c r="AT15" s="26">
        <f t="shared" si="118"/>
        <v>0</v>
      </c>
      <c r="AU15" s="26">
        <f t="shared" si="118"/>
        <v>0</v>
      </c>
      <c r="AV15" s="26">
        <f t="shared" si="118"/>
        <v>0</v>
      </c>
      <c r="AW15" s="26">
        <f t="shared" si="118"/>
        <v>0</v>
      </c>
      <c r="AX15" s="26">
        <f t="shared" si="118"/>
        <v>0</v>
      </c>
      <c r="AY15" s="26">
        <f t="shared" si="118"/>
        <v>0</v>
      </c>
      <c r="AZ15" s="26">
        <f t="shared" si="118"/>
        <v>0</v>
      </c>
      <c r="BA15" s="26">
        <f t="shared" si="118"/>
        <v>0</v>
      </c>
      <c r="BB15" s="177">
        <v>0</v>
      </c>
      <c r="BC15" s="181">
        <f t="shared" si="27"/>
        <v>0</v>
      </c>
      <c r="BD15" s="181">
        <f t="shared" si="70"/>
        <v>0</v>
      </c>
      <c r="BE15" s="181">
        <f t="shared" si="71"/>
        <v>0</v>
      </c>
      <c r="BF15" s="181">
        <f t="shared" si="72"/>
        <v>0</v>
      </c>
      <c r="BG15" s="181">
        <f t="shared" si="73"/>
        <v>0</v>
      </c>
      <c r="BH15" s="181">
        <f t="shared" si="74"/>
        <v>0</v>
      </c>
      <c r="BI15" s="181">
        <f t="shared" si="75"/>
        <v>0</v>
      </c>
      <c r="BJ15" s="181">
        <f t="shared" si="76"/>
        <v>0</v>
      </c>
      <c r="BK15" s="181">
        <f t="shared" si="77"/>
        <v>0</v>
      </c>
      <c r="BL15" s="181">
        <f t="shared" si="78"/>
        <v>0</v>
      </c>
      <c r="BM15" s="181">
        <f t="shared" si="79"/>
        <v>0</v>
      </c>
      <c r="BN15" s="181">
        <f t="shared" si="80"/>
        <v>0</v>
      </c>
      <c r="BO15" s="177">
        <v>0</v>
      </c>
      <c r="BP15" s="181">
        <f t="shared" si="19"/>
        <v>0</v>
      </c>
      <c r="BQ15" s="182">
        <f t="shared" ref="BQ15" si="119">BP15</f>
        <v>0</v>
      </c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177">
        <v>0</v>
      </c>
      <c r="CC15" s="181">
        <f t="shared" si="30"/>
        <v>0</v>
      </c>
      <c r="CD15" s="182">
        <f t="shared" ref="CD15" si="120">CC15</f>
        <v>0</v>
      </c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177">
        <v>0</v>
      </c>
      <c r="CP15" s="181">
        <f t="shared" si="32"/>
        <v>0</v>
      </c>
      <c r="CQ15" s="182">
        <f t="shared" ref="CQ15" si="121">CP15</f>
        <v>0</v>
      </c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177">
        <v>0</v>
      </c>
      <c r="DC15" s="181">
        <f t="shared" si="34"/>
        <v>0</v>
      </c>
      <c r="DD15" s="182">
        <f t="shared" ref="DD15" si="122">DC15</f>
        <v>0</v>
      </c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177">
        <v>0</v>
      </c>
    </row>
    <row r="16" spans="1:119" ht="36" thickTop="1" thickBot="1">
      <c r="A16" s="24"/>
      <c r="B16" s="25" t="s">
        <v>29</v>
      </c>
      <c r="C16" s="38"/>
      <c r="D16" s="38"/>
      <c r="E16" s="25"/>
      <c r="F16" s="25"/>
      <c r="G16" s="25"/>
      <c r="H16" s="25"/>
      <c r="I16" s="38"/>
      <c r="J16" s="25"/>
      <c r="K16" s="25"/>
      <c r="L16" s="25"/>
      <c r="M16" s="25"/>
      <c r="N16" s="25"/>
      <c r="O16" s="86">
        <v>0</v>
      </c>
      <c r="P16" s="26">
        <f t="shared" si="12"/>
        <v>0</v>
      </c>
      <c r="Q16" s="26">
        <f t="shared" si="13"/>
        <v>0</v>
      </c>
      <c r="R16" s="26">
        <f t="shared" si="13"/>
        <v>0</v>
      </c>
      <c r="S16" s="26">
        <f t="shared" si="13"/>
        <v>0</v>
      </c>
      <c r="T16" s="26">
        <f t="shared" si="13"/>
        <v>0</v>
      </c>
      <c r="U16" s="26">
        <f t="shared" si="13"/>
        <v>0</v>
      </c>
      <c r="V16" s="26">
        <f t="shared" si="13"/>
        <v>0</v>
      </c>
      <c r="W16" s="26">
        <f t="shared" si="13"/>
        <v>0</v>
      </c>
      <c r="X16" s="26">
        <f t="shared" si="13"/>
        <v>0</v>
      </c>
      <c r="Y16" s="26">
        <f t="shared" si="13"/>
        <v>0</v>
      </c>
      <c r="Z16" s="26">
        <f t="shared" si="13"/>
        <v>0</v>
      </c>
      <c r="AA16" s="26">
        <f t="shared" si="13"/>
        <v>0</v>
      </c>
      <c r="AB16" s="86">
        <v>0</v>
      </c>
      <c r="AC16" s="26">
        <f t="shared" si="14"/>
        <v>0</v>
      </c>
      <c r="AD16" s="26">
        <f t="shared" ref="AD16:AN16" si="123">AC16</f>
        <v>0</v>
      </c>
      <c r="AE16" s="26">
        <f t="shared" si="123"/>
        <v>0</v>
      </c>
      <c r="AF16" s="26">
        <f t="shared" si="123"/>
        <v>0</v>
      </c>
      <c r="AG16" s="26">
        <f t="shared" si="123"/>
        <v>0</v>
      </c>
      <c r="AH16" s="26">
        <f t="shared" si="123"/>
        <v>0</v>
      </c>
      <c r="AI16" s="26">
        <f t="shared" si="123"/>
        <v>0</v>
      </c>
      <c r="AJ16" s="26">
        <f t="shared" si="123"/>
        <v>0</v>
      </c>
      <c r="AK16" s="26">
        <f t="shared" si="123"/>
        <v>0</v>
      </c>
      <c r="AL16" s="26">
        <f t="shared" si="123"/>
        <v>0</v>
      </c>
      <c r="AM16" s="26">
        <f t="shared" si="123"/>
        <v>0</v>
      </c>
      <c r="AN16" s="26">
        <f t="shared" si="123"/>
        <v>0</v>
      </c>
      <c r="AO16" s="86">
        <v>0</v>
      </c>
      <c r="AP16" s="26">
        <f t="shared" si="16"/>
        <v>0</v>
      </c>
      <c r="AQ16" s="26">
        <f t="shared" ref="AQ16:BA16" si="124">AP16</f>
        <v>0</v>
      </c>
      <c r="AR16" s="26">
        <f t="shared" si="124"/>
        <v>0</v>
      </c>
      <c r="AS16" s="26">
        <f t="shared" si="124"/>
        <v>0</v>
      </c>
      <c r="AT16" s="26">
        <f t="shared" si="124"/>
        <v>0</v>
      </c>
      <c r="AU16" s="26">
        <f t="shared" si="124"/>
        <v>0</v>
      </c>
      <c r="AV16" s="26">
        <f t="shared" si="124"/>
        <v>0</v>
      </c>
      <c r="AW16" s="26">
        <f t="shared" si="124"/>
        <v>0</v>
      </c>
      <c r="AX16" s="26">
        <f t="shared" si="124"/>
        <v>0</v>
      </c>
      <c r="AY16" s="26">
        <f t="shared" si="124"/>
        <v>0</v>
      </c>
      <c r="AZ16" s="26">
        <f t="shared" si="124"/>
        <v>0</v>
      </c>
      <c r="BA16" s="26">
        <f t="shared" si="124"/>
        <v>0</v>
      </c>
      <c r="BB16" s="177">
        <v>0</v>
      </c>
      <c r="BC16" s="181">
        <f t="shared" si="27"/>
        <v>0</v>
      </c>
      <c r="BD16" s="181">
        <f t="shared" si="70"/>
        <v>0</v>
      </c>
      <c r="BE16" s="181">
        <f t="shared" si="71"/>
        <v>0</v>
      </c>
      <c r="BF16" s="181">
        <f t="shared" si="72"/>
        <v>0</v>
      </c>
      <c r="BG16" s="181">
        <f t="shared" si="73"/>
        <v>0</v>
      </c>
      <c r="BH16" s="181">
        <f t="shared" si="74"/>
        <v>0</v>
      </c>
      <c r="BI16" s="181">
        <f t="shared" si="75"/>
        <v>0</v>
      </c>
      <c r="BJ16" s="181">
        <f t="shared" si="76"/>
        <v>0</v>
      </c>
      <c r="BK16" s="181">
        <f t="shared" si="77"/>
        <v>0</v>
      </c>
      <c r="BL16" s="181">
        <f t="shared" si="78"/>
        <v>0</v>
      </c>
      <c r="BM16" s="181">
        <f t="shared" si="79"/>
        <v>0</v>
      </c>
      <c r="BN16" s="181">
        <f t="shared" si="80"/>
        <v>0</v>
      </c>
      <c r="BO16" s="177">
        <v>0</v>
      </c>
      <c r="BP16" s="181">
        <f t="shared" si="19"/>
        <v>0</v>
      </c>
      <c r="BQ16" s="182">
        <f t="shared" ref="BQ16" si="125">BP16</f>
        <v>0</v>
      </c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177">
        <v>0</v>
      </c>
      <c r="CC16" s="181">
        <f t="shared" si="30"/>
        <v>0</v>
      </c>
      <c r="CD16" s="182">
        <f t="shared" ref="CD16" si="126">CC16</f>
        <v>0</v>
      </c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177">
        <v>0</v>
      </c>
      <c r="CP16" s="181">
        <f t="shared" si="32"/>
        <v>0</v>
      </c>
      <c r="CQ16" s="182">
        <f t="shared" ref="CQ16" si="127">CP16</f>
        <v>0</v>
      </c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177">
        <v>0</v>
      </c>
      <c r="DC16" s="181">
        <f t="shared" si="34"/>
        <v>0</v>
      </c>
      <c r="DD16" s="182">
        <f t="shared" ref="DD16" si="128">DC16</f>
        <v>0</v>
      </c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177">
        <v>0</v>
      </c>
    </row>
    <row r="17" spans="1:119" ht="19" thickTop="1" thickBot="1">
      <c r="A17" s="24"/>
      <c r="B17" s="25" t="s">
        <v>30</v>
      </c>
      <c r="C17" s="38"/>
      <c r="D17" s="38"/>
      <c r="E17" s="25"/>
      <c r="F17" s="25"/>
      <c r="G17" s="25"/>
      <c r="H17" s="25"/>
      <c r="I17" s="38"/>
      <c r="J17" s="25"/>
      <c r="K17" s="25"/>
      <c r="L17" s="25"/>
      <c r="M17" s="25"/>
      <c r="N17" s="25"/>
      <c r="O17" s="86">
        <f t="shared" ref="O17:O18" si="129">SUM(C17:N17)</f>
        <v>0</v>
      </c>
      <c r="P17" s="26">
        <f t="shared" si="12"/>
        <v>0</v>
      </c>
      <c r="Q17" s="26">
        <f t="shared" si="13"/>
        <v>0</v>
      </c>
      <c r="R17" s="26">
        <f t="shared" si="13"/>
        <v>0</v>
      </c>
      <c r="S17" s="26">
        <f t="shared" si="13"/>
        <v>0</v>
      </c>
      <c r="T17" s="26">
        <f t="shared" si="13"/>
        <v>0</v>
      </c>
      <c r="U17" s="26">
        <f t="shared" si="13"/>
        <v>0</v>
      </c>
      <c r="V17" s="26">
        <f t="shared" si="13"/>
        <v>0</v>
      </c>
      <c r="W17" s="26">
        <f t="shared" si="13"/>
        <v>0</v>
      </c>
      <c r="X17" s="26">
        <f t="shared" si="13"/>
        <v>0</v>
      </c>
      <c r="Y17" s="26">
        <f t="shared" si="13"/>
        <v>0</v>
      </c>
      <c r="Z17" s="26">
        <f t="shared" si="13"/>
        <v>0</v>
      </c>
      <c r="AA17" s="26">
        <f t="shared" si="13"/>
        <v>0</v>
      </c>
      <c r="AB17" s="86">
        <v>0</v>
      </c>
      <c r="AC17" s="26">
        <f t="shared" si="14"/>
        <v>0</v>
      </c>
      <c r="AD17" s="26">
        <f t="shared" ref="AD17:AN17" si="130">AC17</f>
        <v>0</v>
      </c>
      <c r="AE17" s="26">
        <f t="shared" si="130"/>
        <v>0</v>
      </c>
      <c r="AF17" s="26">
        <f t="shared" si="130"/>
        <v>0</v>
      </c>
      <c r="AG17" s="26">
        <f t="shared" si="130"/>
        <v>0</v>
      </c>
      <c r="AH17" s="26">
        <f t="shared" si="130"/>
        <v>0</v>
      </c>
      <c r="AI17" s="26">
        <f t="shared" si="130"/>
        <v>0</v>
      </c>
      <c r="AJ17" s="26">
        <f t="shared" si="130"/>
        <v>0</v>
      </c>
      <c r="AK17" s="26">
        <f t="shared" si="130"/>
        <v>0</v>
      </c>
      <c r="AL17" s="26">
        <f t="shared" si="130"/>
        <v>0</v>
      </c>
      <c r="AM17" s="26">
        <f t="shared" si="130"/>
        <v>0</v>
      </c>
      <c r="AN17" s="26">
        <f t="shared" si="130"/>
        <v>0</v>
      </c>
      <c r="AO17" s="86">
        <v>0</v>
      </c>
      <c r="AP17" s="26">
        <f t="shared" si="16"/>
        <v>0</v>
      </c>
      <c r="AQ17" s="26">
        <f t="shared" ref="AQ17:BA17" si="131">AP17</f>
        <v>0</v>
      </c>
      <c r="AR17" s="26">
        <f t="shared" si="131"/>
        <v>0</v>
      </c>
      <c r="AS17" s="26">
        <f t="shared" si="131"/>
        <v>0</v>
      </c>
      <c r="AT17" s="26">
        <f t="shared" si="131"/>
        <v>0</v>
      </c>
      <c r="AU17" s="26">
        <f t="shared" si="131"/>
        <v>0</v>
      </c>
      <c r="AV17" s="26">
        <f t="shared" si="131"/>
        <v>0</v>
      </c>
      <c r="AW17" s="26">
        <f t="shared" si="131"/>
        <v>0</v>
      </c>
      <c r="AX17" s="26">
        <f t="shared" si="131"/>
        <v>0</v>
      </c>
      <c r="AY17" s="26">
        <f t="shared" si="131"/>
        <v>0</v>
      </c>
      <c r="AZ17" s="26">
        <f t="shared" si="131"/>
        <v>0</v>
      </c>
      <c r="BA17" s="26">
        <f t="shared" si="131"/>
        <v>0</v>
      </c>
      <c r="BB17" s="177">
        <v>0</v>
      </c>
      <c r="BC17" s="181">
        <f t="shared" si="27"/>
        <v>0</v>
      </c>
      <c r="BD17" s="181">
        <f t="shared" si="70"/>
        <v>0</v>
      </c>
      <c r="BE17" s="181">
        <f t="shared" si="71"/>
        <v>0</v>
      </c>
      <c r="BF17" s="181">
        <f t="shared" si="72"/>
        <v>0</v>
      </c>
      <c r="BG17" s="181">
        <f t="shared" si="73"/>
        <v>0</v>
      </c>
      <c r="BH17" s="181">
        <f t="shared" si="74"/>
        <v>0</v>
      </c>
      <c r="BI17" s="181">
        <f t="shared" si="75"/>
        <v>0</v>
      </c>
      <c r="BJ17" s="181">
        <f t="shared" si="76"/>
        <v>0</v>
      </c>
      <c r="BK17" s="181">
        <f t="shared" si="77"/>
        <v>0</v>
      </c>
      <c r="BL17" s="181">
        <f t="shared" si="78"/>
        <v>0</v>
      </c>
      <c r="BM17" s="181">
        <f t="shared" si="79"/>
        <v>0</v>
      </c>
      <c r="BN17" s="181">
        <f t="shared" si="80"/>
        <v>0</v>
      </c>
      <c r="BO17" s="177">
        <v>0</v>
      </c>
      <c r="BP17" s="181">
        <f t="shared" si="19"/>
        <v>0</v>
      </c>
      <c r="BQ17" s="182">
        <f t="shared" ref="BQ17" si="132">BP17</f>
        <v>0</v>
      </c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177">
        <v>0</v>
      </c>
      <c r="CC17" s="181">
        <f t="shared" si="30"/>
        <v>0</v>
      </c>
      <c r="CD17" s="182">
        <f t="shared" ref="CD17" si="133">CC17</f>
        <v>0</v>
      </c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177">
        <v>0</v>
      </c>
      <c r="CP17" s="181">
        <f t="shared" si="32"/>
        <v>0</v>
      </c>
      <c r="CQ17" s="182">
        <f t="shared" ref="CQ17" si="134">CP17</f>
        <v>0</v>
      </c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177">
        <v>0</v>
      </c>
      <c r="DC17" s="181">
        <f t="shared" si="34"/>
        <v>0</v>
      </c>
      <c r="DD17" s="182">
        <f t="shared" ref="DD17" si="135">DC17</f>
        <v>0</v>
      </c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177">
        <v>0</v>
      </c>
    </row>
    <row r="18" spans="1:119" ht="19" thickTop="1" thickBot="1">
      <c r="A18" s="24"/>
      <c r="B18" s="25" t="s">
        <v>31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86">
        <f t="shared" si="129"/>
        <v>0</v>
      </c>
      <c r="P18" s="26">
        <f t="shared" si="12"/>
        <v>0</v>
      </c>
      <c r="Q18" s="26">
        <f t="shared" si="13"/>
        <v>0</v>
      </c>
      <c r="R18" s="26">
        <f t="shared" si="13"/>
        <v>0</v>
      </c>
      <c r="S18" s="26">
        <f t="shared" si="13"/>
        <v>0</v>
      </c>
      <c r="T18" s="26">
        <f t="shared" si="13"/>
        <v>0</v>
      </c>
      <c r="U18" s="26">
        <f t="shared" si="13"/>
        <v>0</v>
      </c>
      <c r="V18" s="26">
        <f t="shared" si="13"/>
        <v>0</v>
      </c>
      <c r="W18" s="26">
        <f t="shared" si="13"/>
        <v>0</v>
      </c>
      <c r="X18" s="26">
        <f t="shared" si="13"/>
        <v>0</v>
      </c>
      <c r="Y18" s="26">
        <f t="shared" si="13"/>
        <v>0</v>
      </c>
      <c r="Z18" s="26">
        <f t="shared" si="13"/>
        <v>0</v>
      </c>
      <c r="AA18" s="26">
        <f t="shared" si="13"/>
        <v>0</v>
      </c>
      <c r="AB18" s="86">
        <v>0</v>
      </c>
      <c r="AC18" s="26">
        <f t="shared" si="14"/>
        <v>0</v>
      </c>
      <c r="AD18" s="26">
        <f t="shared" ref="AD18:AN18" si="136">AC18</f>
        <v>0</v>
      </c>
      <c r="AE18" s="26">
        <f t="shared" si="136"/>
        <v>0</v>
      </c>
      <c r="AF18" s="26">
        <f t="shared" si="136"/>
        <v>0</v>
      </c>
      <c r="AG18" s="26">
        <f t="shared" si="136"/>
        <v>0</v>
      </c>
      <c r="AH18" s="26">
        <f t="shared" si="136"/>
        <v>0</v>
      </c>
      <c r="AI18" s="26">
        <f t="shared" si="136"/>
        <v>0</v>
      </c>
      <c r="AJ18" s="26">
        <f t="shared" si="136"/>
        <v>0</v>
      </c>
      <c r="AK18" s="26">
        <f t="shared" si="136"/>
        <v>0</v>
      </c>
      <c r="AL18" s="26">
        <f t="shared" si="136"/>
        <v>0</v>
      </c>
      <c r="AM18" s="26">
        <f t="shared" si="136"/>
        <v>0</v>
      </c>
      <c r="AN18" s="26">
        <f t="shared" si="136"/>
        <v>0</v>
      </c>
      <c r="AO18" s="86">
        <v>0</v>
      </c>
      <c r="AP18" s="26">
        <f t="shared" si="16"/>
        <v>0</v>
      </c>
      <c r="AQ18" s="26">
        <f t="shared" ref="AQ18:BA18" si="137">AP18</f>
        <v>0</v>
      </c>
      <c r="AR18" s="26">
        <f t="shared" si="137"/>
        <v>0</v>
      </c>
      <c r="AS18" s="26">
        <f t="shared" si="137"/>
        <v>0</v>
      </c>
      <c r="AT18" s="26">
        <f t="shared" si="137"/>
        <v>0</v>
      </c>
      <c r="AU18" s="26">
        <f t="shared" si="137"/>
        <v>0</v>
      </c>
      <c r="AV18" s="26">
        <f t="shared" si="137"/>
        <v>0</v>
      </c>
      <c r="AW18" s="26">
        <f t="shared" si="137"/>
        <v>0</v>
      </c>
      <c r="AX18" s="26">
        <f t="shared" si="137"/>
        <v>0</v>
      </c>
      <c r="AY18" s="26">
        <f t="shared" si="137"/>
        <v>0</v>
      </c>
      <c r="AZ18" s="26">
        <f t="shared" si="137"/>
        <v>0</v>
      </c>
      <c r="BA18" s="26">
        <f t="shared" si="137"/>
        <v>0</v>
      </c>
      <c r="BB18" s="177">
        <v>0</v>
      </c>
      <c r="BC18" s="181">
        <f t="shared" si="27"/>
        <v>0</v>
      </c>
      <c r="BD18" s="181">
        <f t="shared" si="70"/>
        <v>0</v>
      </c>
      <c r="BE18" s="181">
        <f t="shared" si="71"/>
        <v>0</v>
      </c>
      <c r="BF18" s="181">
        <f t="shared" si="72"/>
        <v>0</v>
      </c>
      <c r="BG18" s="181">
        <f t="shared" si="73"/>
        <v>0</v>
      </c>
      <c r="BH18" s="181">
        <f t="shared" si="74"/>
        <v>0</v>
      </c>
      <c r="BI18" s="181">
        <f t="shared" si="75"/>
        <v>0</v>
      </c>
      <c r="BJ18" s="181">
        <f t="shared" si="76"/>
        <v>0</v>
      </c>
      <c r="BK18" s="181">
        <f t="shared" si="77"/>
        <v>0</v>
      </c>
      <c r="BL18" s="181">
        <f t="shared" si="78"/>
        <v>0</v>
      </c>
      <c r="BM18" s="181">
        <f t="shared" si="79"/>
        <v>0</v>
      </c>
      <c r="BN18" s="181">
        <f t="shared" si="80"/>
        <v>0</v>
      </c>
      <c r="BO18" s="177">
        <v>0</v>
      </c>
      <c r="BP18" s="181">
        <f t="shared" si="19"/>
        <v>0</v>
      </c>
      <c r="BQ18" s="182">
        <f t="shared" ref="BQ18" si="138">BP18</f>
        <v>0</v>
      </c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177">
        <v>0</v>
      </c>
      <c r="CC18" s="181">
        <f t="shared" si="30"/>
        <v>0</v>
      </c>
      <c r="CD18" s="182">
        <f t="shared" ref="CD18" si="139">CC18</f>
        <v>0</v>
      </c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177">
        <v>0</v>
      </c>
      <c r="CP18" s="181">
        <f t="shared" si="32"/>
        <v>0</v>
      </c>
      <c r="CQ18" s="182">
        <f t="shared" ref="CQ18" si="140">CP18</f>
        <v>0</v>
      </c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177">
        <v>0</v>
      </c>
      <c r="DC18" s="181">
        <f t="shared" si="34"/>
        <v>0</v>
      </c>
      <c r="DD18" s="182">
        <f t="shared" ref="DD18" si="141">DC18</f>
        <v>0</v>
      </c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177">
        <v>0</v>
      </c>
    </row>
    <row r="19" spans="1:119" ht="53" thickTop="1" thickBot="1">
      <c r="A19" s="24"/>
      <c r="B19" s="4" t="s">
        <v>32</v>
      </c>
      <c r="C19" s="38">
        <f>C16</f>
        <v>0</v>
      </c>
      <c r="D19" s="38"/>
      <c r="E19" s="38"/>
      <c r="F19" s="39">
        <v>0</v>
      </c>
      <c r="G19" s="39">
        <f t="shared" ref="G19" si="142">G12-G13-G14</f>
        <v>0</v>
      </c>
      <c r="H19" s="39">
        <f>H12-H13-H14</f>
        <v>98800</v>
      </c>
      <c r="I19" s="39">
        <f>I12-I13-I14</f>
        <v>-1425.3473333333334</v>
      </c>
      <c r="J19" s="39">
        <f>J12-J13-J14</f>
        <v>-1425.3473333333334</v>
      </c>
      <c r="K19" s="39">
        <f>K12-K13-I14+K16</f>
        <v>-1425.3473333333334</v>
      </c>
      <c r="L19" s="39">
        <f>O19</f>
        <v>90873.263333333336</v>
      </c>
      <c r="M19" s="39">
        <f t="shared" ref="M19:N19" si="143">M12-M13-M14+M16</f>
        <v>-1425.3473333333334</v>
      </c>
      <c r="N19" s="39">
        <f t="shared" si="143"/>
        <v>-1425.3473333333334</v>
      </c>
      <c r="O19" s="86">
        <f>O12-O13-O14+O16</f>
        <v>90873.263333333336</v>
      </c>
      <c r="P19" s="26">
        <f t="shared" si="12"/>
        <v>-908.64638888888874</v>
      </c>
      <c r="Q19" s="26">
        <f t="shared" si="13"/>
        <v>-908.64638888888874</v>
      </c>
      <c r="R19" s="26">
        <f t="shared" si="13"/>
        <v>-908.64638888888874</v>
      </c>
      <c r="S19" s="26">
        <f t="shared" si="13"/>
        <v>-908.64638888888874</v>
      </c>
      <c r="T19" s="26">
        <f t="shared" si="13"/>
        <v>-908.64638888888874</v>
      </c>
      <c r="U19" s="26">
        <f t="shared" si="13"/>
        <v>-908.64638888888874</v>
      </c>
      <c r="V19" s="26">
        <f t="shared" si="13"/>
        <v>-908.64638888888874</v>
      </c>
      <c r="W19" s="26">
        <f t="shared" si="13"/>
        <v>-908.64638888888874</v>
      </c>
      <c r="X19" s="26">
        <f t="shared" si="13"/>
        <v>-908.64638888888874</v>
      </c>
      <c r="Y19" s="26">
        <f t="shared" si="13"/>
        <v>-908.64638888888874</v>
      </c>
      <c r="Z19" s="26">
        <f t="shared" si="13"/>
        <v>-908.64638888888874</v>
      </c>
      <c r="AA19" s="26">
        <f t="shared" si="13"/>
        <v>-908.64638888888874</v>
      </c>
      <c r="AB19" s="86">
        <f>AB12-AB13-AB14</f>
        <v>-10903.756666666664</v>
      </c>
      <c r="AC19" s="26">
        <f t="shared" si="14"/>
        <v>-899.18388888888876</v>
      </c>
      <c r="AD19" s="26">
        <f t="shared" ref="AD19:AN19" si="144">AC19</f>
        <v>-899.18388888888876</v>
      </c>
      <c r="AE19" s="26">
        <f t="shared" si="144"/>
        <v>-899.18388888888876</v>
      </c>
      <c r="AF19" s="26">
        <f t="shared" si="144"/>
        <v>-899.18388888888876</v>
      </c>
      <c r="AG19" s="26">
        <f t="shared" si="144"/>
        <v>-899.18388888888876</v>
      </c>
      <c r="AH19" s="26">
        <f t="shared" si="144"/>
        <v>-899.18388888888876</v>
      </c>
      <c r="AI19" s="26">
        <f t="shared" si="144"/>
        <v>-899.18388888888876</v>
      </c>
      <c r="AJ19" s="26">
        <f t="shared" si="144"/>
        <v>-899.18388888888876</v>
      </c>
      <c r="AK19" s="26">
        <f t="shared" si="144"/>
        <v>-899.18388888888876</v>
      </c>
      <c r="AL19" s="26">
        <f t="shared" si="144"/>
        <v>-899.18388888888876</v>
      </c>
      <c r="AM19" s="26">
        <f t="shared" si="144"/>
        <v>-899.18388888888876</v>
      </c>
      <c r="AN19" s="26">
        <f t="shared" si="144"/>
        <v>-899.18388888888876</v>
      </c>
      <c r="AO19" s="86">
        <f t="shared" ref="AO19:BB19" si="145">AO12-AO13-AO14</f>
        <v>-10790.206666666665</v>
      </c>
      <c r="AP19" s="26">
        <f t="shared" si="16"/>
        <v>-889.43638888888881</v>
      </c>
      <c r="AQ19" s="26">
        <f t="shared" ref="AQ19:BA19" si="146">AP19</f>
        <v>-889.43638888888881</v>
      </c>
      <c r="AR19" s="26">
        <f t="shared" si="146"/>
        <v>-889.43638888888881</v>
      </c>
      <c r="AS19" s="26">
        <f t="shared" si="146"/>
        <v>-889.43638888888881</v>
      </c>
      <c r="AT19" s="26">
        <f t="shared" si="146"/>
        <v>-889.43638888888881</v>
      </c>
      <c r="AU19" s="26">
        <f t="shared" si="146"/>
        <v>-889.43638888888881</v>
      </c>
      <c r="AV19" s="26">
        <f t="shared" si="146"/>
        <v>-889.43638888888881</v>
      </c>
      <c r="AW19" s="26">
        <f t="shared" si="146"/>
        <v>-889.43638888888881</v>
      </c>
      <c r="AX19" s="26">
        <f t="shared" si="146"/>
        <v>-889.43638888888881</v>
      </c>
      <c r="AY19" s="26">
        <f t="shared" si="146"/>
        <v>-889.43638888888881</v>
      </c>
      <c r="AZ19" s="26">
        <f t="shared" si="146"/>
        <v>-889.43638888888881</v>
      </c>
      <c r="BA19" s="26">
        <f t="shared" si="146"/>
        <v>-889.43638888888881</v>
      </c>
      <c r="BB19" s="177">
        <f t="shared" si="145"/>
        <v>-10673.236666666666</v>
      </c>
      <c r="BC19" s="181">
        <f t="shared" si="27"/>
        <v>0</v>
      </c>
      <c r="BD19" s="181">
        <f t="shared" si="70"/>
        <v>0</v>
      </c>
      <c r="BE19" s="181">
        <f t="shared" si="71"/>
        <v>0</v>
      </c>
      <c r="BF19" s="181">
        <f t="shared" si="72"/>
        <v>0</v>
      </c>
      <c r="BG19" s="181">
        <f t="shared" si="73"/>
        <v>0</v>
      </c>
      <c r="BH19" s="181">
        <f t="shared" si="74"/>
        <v>0</v>
      </c>
      <c r="BI19" s="181">
        <f t="shared" si="75"/>
        <v>0</v>
      </c>
      <c r="BJ19" s="181">
        <f t="shared" si="76"/>
        <v>0</v>
      </c>
      <c r="BK19" s="181">
        <f t="shared" si="77"/>
        <v>0</v>
      </c>
      <c r="BL19" s="181">
        <f t="shared" si="78"/>
        <v>0</v>
      </c>
      <c r="BM19" s="181">
        <f t="shared" si="79"/>
        <v>0</v>
      </c>
      <c r="BN19" s="181">
        <f t="shared" si="80"/>
        <v>0</v>
      </c>
      <c r="BO19" s="177">
        <f t="shared" ref="BO19" si="147">BO12-BO13-BO14</f>
        <v>0</v>
      </c>
      <c r="BP19" s="181">
        <f t="shared" si="19"/>
        <v>0</v>
      </c>
      <c r="BQ19" s="182">
        <f t="shared" ref="BQ19" si="148">BP19</f>
        <v>0</v>
      </c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177">
        <f t="shared" ref="CB19" si="149">CB12-CB13-CB14</f>
        <v>0</v>
      </c>
      <c r="CC19" s="181">
        <f t="shared" si="30"/>
        <v>0</v>
      </c>
      <c r="CD19" s="182">
        <f t="shared" ref="CD19" si="150">CC19</f>
        <v>0</v>
      </c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177">
        <f t="shared" ref="CO19" si="151">CO12-CO13-CO14</f>
        <v>0</v>
      </c>
      <c r="CP19" s="181">
        <f t="shared" si="32"/>
        <v>0</v>
      </c>
      <c r="CQ19" s="182">
        <f t="shared" ref="CQ19" si="152">CP19</f>
        <v>0</v>
      </c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177">
        <f t="shared" ref="DB19" si="153">DB12-DB13-DB14</f>
        <v>0</v>
      </c>
      <c r="DC19" s="181">
        <f t="shared" si="34"/>
        <v>0</v>
      </c>
      <c r="DD19" s="182">
        <f t="shared" ref="DD19" si="154">DC19</f>
        <v>0</v>
      </c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177">
        <f t="shared" ref="DO19" si="155">DO12-DO13-DO14</f>
        <v>0</v>
      </c>
    </row>
    <row r="20" spans="1:119" s="23" customFormat="1" ht="19" thickTop="1" thickBot="1">
      <c r="B20" s="26" t="s">
        <v>33</v>
      </c>
      <c r="C20" s="41">
        <f>C8+C11+C19</f>
        <v>0</v>
      </c>
      <c r="D20" s="41">
        <f t="shared" ref="D20:M20" si="156">D8+D11+D19</f>
        <v>0</v>
      </c>
      <c r="E20" s="41">
        <f t="shared" si="156"/>
        <v>0</v>
      </c>
      <c r="F20" s="41">
        <f t="shared" si="156"/>
        <v>0</v>
      </c>
      <c r="G20" s="41">
        <f t="shared" si="156"/>
        <v>0</v>
      </c>
      <c r="I20" s="41">
        <f>I8+I11+I19</f>
        <v>-6511.8458000000001</v>
      </c>
      <c r="J20" s="41">
        <f t="shared" si="156"/>
        <v>-6511.8458000000001</v>
      </c>
      <c r="K20" s="41">
        <f>K8+K11+K19</f>
        <v>-6511.8458000000001</v>
      </c>
      <c r="L20" s="41">
        <f>L8+L11+L19</f>
        <v>34786.764866666672</v>
      </c>
      <c r="M20" s="41">
        <f t="shared" si="156"/>
        <v>-6511.8458000000001</v>
      </c>
      <c r="N20" s="41">
        <f>N8+N11+N19</f>
        <v>-6511.8458000000001</v>
      </c>
      <c r="O20" s="86">
        <f>O8+O11+O19</f>
        <v>9354.2725333333365</v>
      </c>
      <c r="P20" s="39">
        <f>P8+P11+P19</f>
        <v>-585.97755268388835</v>
      </c>
      <c r="Q20" s="26">
        <f t="shared" si="13"/>
        <v>-585.97755268388835</v>
      </c>
      <c r="R20" s="26">
        <f t="shared" si="13"/>
        <v>-585.97755268388835</v>
      </c>
      <c r="S20" s="26">
        <f t="shared" si="13"/>
        <v>-585.97755268388835</v>
      </c>
      <c r="T20" s="26">
        <f t="shared" si="13"/>
        <v>-585.97755268388835</v>
      </c>
      <c r="U20" s="26">
        <f t="shared" si="13"/>
        <v>-585.97755268388835</v>
      </c>
      <c r="V20" s="26">
        <f t="shared" si="13"/>
        <v>-585.97755268388835</v>
      </c>
      <c r="W20" s="26">
        <f t="shared" si="13"/>
        <v>-585.97755268388835</v>
      </c>
      <c r="X20" s="26">
        <f t="shared" si="13"/>
        <v>-585.97755268388835</v>
      </c>
      <c r="Y20" s="26">
        <f t="shared" si="13"/>
        <v>-585.97755268388835</v>
      </c>
      <c r="Z20" s="26">
        <f t="shared" si="13"/>
        <v>-585.97755268388835</v>
      </c>
      <c r="AA20" s="26">
        <f t="shared" si="13"/>
        <v>-585.97755268388835</v>
      </c>
      <c r="AB20" s="86">
        <f t="shared" ref="AB20:BB20" si="157">AB8+AB11+AB19</f>
        <v>-7031.7306322066597</v>
      </c>
      <c r="AC20" s="39">
        <f>AC8+AC11+AC19</f>
        <v>1189.2288021608206</v>
      </c>
      <c r="AD20" s="26">
        <f t="shared" ref="AD20:AN20" si="158">AC20</f>
        <v>1189.2288021608206</v>
      </c>
      <c r="AE20" s="26">
        <f t="shared" si="158"/>
        <v>1189.2288021608206</v>
      </c>
      <c r="AF20" s="26">
        <f t="shared" si="158"/>
        <v>1189.2288021608206</v>
      </c>
      <c r="AG20" s="26">
        <f t="shared" si="158"/>
        <v>1189.2288021608206</v>
      </c>
      <c r="AH20" s="26">
        <f t="shared" si="158"/>
        <v>1189.2288021608206</v>
      </c>
      <c r="AI20" s="26">
        <f t="shared" si="158"/>
        <v>1189.2288021608206</v>
      </c>
      <c r="AJ20" s="26">
        <f t="shared" si="158"/>
        <v>1189.2288021608206</v>
      </c>
      <c r="AK20" s="26">
        <f t="shared" si="158"/>
        <v>1189.2288021608206</v>
      </c>
      <c r="AL20" s="26">
        <f t="shared" si="158"/>
        <v>1189.2288021608206</v>
      </c>
      <c r="AM20" s="26">
        <f t="shared" si="158"/>
        <v>1189.2288021608206</v>
      </c>
      <c r="AN20" s="26">
        <f t="shared" si="158"/>
        <v>1189.2288021608206</v>
      </c>
      <c r="AO20" s="86">
        <f t="shared" si="157"/>
        <v>14270.745625929845</v>
      </c>
      <c r="AP20" s="39">
        <f>AP8+AP11+AP19</f>
        <v>2217.7175850944882</v>
      </c>
      <c r="AQ20" s="26">
        <f t="shared" ref="AQ20:BA20" si="159">AP20</f>
        <v>2217.7175850944882</v>
      </c>
      <c r="AR20" s="26">
        <f t="shared" si="159"/>
        <v>2217.7175850944882</v>
      </c>
      <c r="AS20" s="26">
        <f t="shared" si="159"/>
        <v>2217.7175850944882</v>
      </c>
      <c r="AT20" s="26">
        <f t="shared" si="159"/>
        <v>2217.7175850944882</v>
      </c>
      <c r="AU20" s="26">
        <f t="shared" si="159"/>
        <v>2217.7175850944882</v>
      </c>
      <c r="AV20" s="26">
        <f t="shared" si="159"/>
        <v>2217.7175850944882</v>
      </c>
      <c r="AW20" s="26">
        <f t="shared" si="159"/>
        <v>2217.7175850944882</v>
      </c>
      <c r="AX20" s="26">
        <f t="shared" si="159"/>
        <v>2217.7175850944882</v>
      </c>
      <c r="AY20" s="26">
        <f t="shared" si="159"/>
        <v>2217.7175850944882</v>
      </c>
      <c r="AZ20" s="26">
        <f t="shared" si="159"/>
        <v>2217.7175850944882</v>
      </c>
      <c r="BA20" s="26">
        <f t="shared" si="159"/>
        <v>2217.7175850944882</v>
      </c>
      <c r="BB20" s="177">
        <f t="shared" si="157"/>
        <v>26612.61102113386</v>
      </c>
      <c r="BC20" s="181">
        <f>BO20/12</f>
        <v>4213.9624701181283</v>
      </c>
      <c r="BD20" s="182">
        <f t="shared" ref="BD20:BN20" si="160">BC20</f>
        <v>4213.9624701181283</v>
      </c>
      <c r="BE20" s="182">
        <f t="shared" si="160"/>
        <v>4213.9624701181283</v>
      </c>
      <c r="BF20" s="182">
        <f t="shared" si="160"/>
        <v>4213.9624701181283</v>
      </c>
      <c r="BG20" s="182">
        <f t="shared" si="160"/>
        <v>4213.9624701181283</v>
      </c>
      <c r="BH20" s="182">
        <f t="shared" si="160"/>
        <v>4213.9624701181283</v>
      </c>
      <c r="BI20" s="182">
        <f t="shared" si="160"/>
        <v>4213.9624701181283</v>
      </c>
      <c r="BJ20" s="182">
        <f t="shared" si="160"/>
        <v>4213.9624701181283</v>
      </c>
      <c r="BK20" s="182">
        <f t="shared" si="160"/>
        <v>4213.9624701181283</v>
      </c>
      <c r="BL20" s="182">
        <f t="shared" si="160"/>
        <v>4213.9624701181283</v>
      </c>
      <c r="BM20" s="182">
        <f t="shared" si="160"/>
        <v>4213.9624701181283</v>
      </c>
      <c r="BN20" s="182">
        <f t="shared" si="160"/>
        <v>4213.9624701181283</v>
      </c>
      <c r="BO20" s="187">
        <f t="shared" ref="BO20" si="161">BO8+BO11+BO19</f>
        <v>50567.549641417543</v>
      </c>
      <c r="BP20" s="181">
        <f t="shared" si="19"/>
        <v>4288.997437327851</v>
      </c>
      <c r="BQ20" s="182">
        <f t="shared" ref="BQ20:CA20" si="162">BP20</f>
        <v>4288.997437327851</v>
      </c>
      <c r="BR20" s="182">
        <f t="shared" si="162"/>
        <v>4288.997437327851</v>
      </c>
      <c r="BS20" s="182">
        <f t="shared" si="162"/>
        <v>4288.997437327851</v>
      </c>
      <c r="BT20" s="182">
        <f t="shared" si="162"/>
        <v>4288.997437327851</v>
      </c>
      <c r="BU20" s="182">
        <f t="shared" si="162"/>
        <v>4288.997437327851</v>
      </c>
      <c r="BV20" s="182">
        <f t="shared" si="162"/>
        <v>4288.997437327851</v>
      </c>
      <c r="BW20" s="182">
        <f t="shared" si="162"/>
        <v>4288.997437327851</v>
      </c>
      <c r="BX20" s="182">
        <f t="shared" si="162"/>
        <v>4288.997437327851</v>
      </c>
      <c r="BY20" s="182">
        <f t="shared" si="162"/>
        <v>4288.997437327851</v>
      </c>
      <c r="BZ20" s="182">
        <f t="shared" si="162"/>
        <v>4288.997437327851</v>
      </c>
      <c r="CA20" s="182">
        <f t="shared" si="162"/>
        <v>4288.997437327851</v>
      </c>
      <c r="CB20" s="187">
        <f t="shared" ref="CB20" si="163">CB8+CB11+CB19</f>
        <v>51467.969247934212</v>
      </c>
      <c r="CC20" s="181">
        <f t="shared" si="30"/>
        <v>4447.0157789840978</v>
      </c>
      <c r="CD20" s="182">
        <f t="shared" ref="CD20:CN20" si="164">CC20</f>
        <v>4447.0157789840978</v>
      </c>
      <c r="CE20" s="182">
        <f t="shared" si="164"/>
        <v>4447.0157789840978</v>
      </c>
      <c r="CF20" s="182">
        <f t="shared" si="164"/>
        <v>4447.0157789840978</v>
      </c>
      <c r="CG20" s="182">
        <f t="shared" si="164"/>
        <v>4447.0157789840978</v>
      </c>
      <c r="CH20" s="182">
        <f t="shared" si="164"/>
        <v>4447.0157789840978</v>
      </c>
      <c r="CI20" s="182">
        <f t="shared" si="164"/>
        <v>4447.0157789840978</v>
      </c>
      <c r="CJ20" s="182">
        <f t="shared" si="164"/>
        <v>4447.0157789840978</v>
      </c>
      <c r="CK20" s="182">
        <f t="shared" si="164"/>
        <v>4447.0157789840978</v>
      </c>
      <c r="CL20" s="182">
        <f t="shared" si="164"/>
        <v>4447.0157789840978</v>
      </c>
      <c r="CM20" s="182">
        <f t="shared" si="164"/>
        <v>4447.0157789840978</v>
      </c>
      <c r="CN20" s="182">
        <f t="shared" si="164"/>
        <v>4447.0157789840978</v>
      </c>
      <c r="CO20" s="187">
        <f t="shared" ref="CO20" si="165">CO8+CO11+CO19</f>
        <v>53364.189347809173</v>
      </c>
      <c r="CP20" s="181">
        <f t="shared" si="32"/>
        <v>4645.7378936140021</v>
      </c>
      <c r="CQ20" s="182">
        <f t="shared" ref="CQ20:DA20" si="166">CP20</f>
        <v>4645.7378936140021</v>
      </c>
      <c r="CR20" s="182">
        <f t="shared" si="166"/>
        <v>4645.7378936140021</v>
      </c>
      <c r="CS20" s="182">
        <f t="shared" si="166"/>
        <v>4645.7378936140021</v>
      </c>
      <c r="CT20" s="182">
        <f t="shared" si="166"/>
        <v>4645.7378936140021</v>
      </c>
      <c r="CU20" s="182">
        <f t="shared" si="166"/>
        <v>4645.7378936140021</v>
      </c>
      <c r="CV20" s="182">
        <f t="shared" si="166"/>
        <v>4645.7378936140021</v>
      </c>
      <c r="CW20" s="182">
        <f t="shared" si="166"/>
        <v>4645.7378936140021</v>
      </c>
      <c r="CX20" s="182">
        <f t="shared" si="166"/>
        <v>4645.7378936140021</v>
      </c>
      <c r="CY20" s="182">
        <f t="shared" si="166"/>
        <v>4645.7378936140021</v>
      </c>
      <c r="CZ20" s="182">
        <f t="shared" si="166"/>
        <v>4645.7378936140021</v>
      </c>
      <c r="DA20" s="182">
        <f t="shared" si="166"/>
        <v>4645.7378936140021</v>
      </c>
      <c r="DB20" s="187">
        <f t="shared" ref="DB20" si="167">DB8+DB11+DB19</f>
        <v>55748.854723368029</v>
      </c>
      <c r="DC20" s="181">
        <f t="shared" si="34"/>
        <v>4798.0950133216347</v>
      </c>
      <c r="DD20" s="182">
        <f t="shared" ref="DD20:DN20" si="168">DC20</f>
        <v>4798.0950133216347</v>
      </c>
      <c r="DE20" s="182">
        <f t="shared" si="168"/>
        <v>4798.0950133216347</v>
      </c>
      <c r="DF20" s="182">
        <f t="shared" si="168"/>
        <v>4798.0950133216347</v>
      </c>
      <c r="DG20" s="182">
        <f t="shared" si="168"/>
        <v>4798.0950133216347</v>
      </c>
      <c r="DH20" s="182">
        <f t="shared" si="168"/>
        <v>4798.0950133216347</v>
      </c>
      <c r="DI20" s="182">
        <f t="shared" si="168"/>
        <v>4798.0950133216347</v>
      </c>
      <c r="DJ20" s="182">
        <f t="shared" si="168"/>
        <v>4798.0950133216347</v>
      </c>
      <c r="DK20" s="182">
        <f t="shared" si="168"/>
        <v>4798.0950133216347</v>
      </c>
      <c r="DL20" s="182">
        <f t="shared" si="168"/>
        <v>4798.0950133216347</v>
      </c>
      <c r="DM20" s="182">
        <f t="shared" si="168"/>
        <v>4798.0950133216347</v>
      </c>
      <c r="DN20" s="182">
        <f t="shared" si="168"/>
        <v>4798.0950133216347</v>
      </c>
      <c r="DO20" s="187">
        <f t="shared" ref="DO20" si="169">DO8+DO11+DO19</f>
        <v>57577.140159859613</v>
      </c>
    </row>
    <row r="21" spans="1:119" s="23" customFormat="1" ht="36" thickTop="1" thickBot="1">
      <c r="B21" s="26" t="s">
        <v>34</v>
      </c>
      <c r="C21" s="41">
        <v>0</v>
      </c>
      <c r="D21" s="41">
        <f>C22</f>
        <v>0</v>
      </c>
      <c r="E21" s="41">
        <f t="shared" ref="E21:N21" si="170">D22</f>
        <v>0</v>
      </c>
      <c r="F21" s="41">
        <f t="shared" si="170"/>
        <v>0</v>
      </c>
      <c r="G21" s="41">
        <f t="shared" si="170"/>
        <v>0</v>
      </c>
      <c r="H21" s="41">
        <f t="shared" si="170"/>
        <v>0</v>
      </c>
      <c r="I21" s="41">
        <f t="shared" si="170"/>
        <v>0</v>
      </c>
      <c r="J21" s="41">
        <f t="shared" si="170"/>
        <v>0</v>
      </c>
      <c r="K21" s="41">
        <f t="shared" si="170"/>
        <v>-6511.8458000000001</v>
      </c>
      <c r="L21" s="41">
        <f>K22</f>
        <v>-13023.6916</v>
      </c>
      <c r="M21" s="41">
        <f t="shared" si="170"/>
        <v>21763.073266666674</v>
      </c>
      <c r="N21" s="41">
        <f t="shared" si="170"/>
        <v>15251.227466666674</v>
      </c>
      <c r="O21" s="86">
        <f>C21</f>
        <v>0</v>
      </c>
      <c r="P21" s="39">
        <f>N22</f>
        <v>8739.3816666666753</v>
      </c>
      <c r="Q21" s="39">
        <f t="shared" ref="Q21:AI21" si="171">P22</f>
        <v>8153.4041139827868</v>
      </c>
      <c r="R21" s="39">
        <f t="shared" si="171"/>
        <v>7567.4265612988984</v>
      </c>
      <c r="S21" s="39">
        <f t="shared" si="171"/>
        <v>6981.4490086150099</v>
      </c>
      <c r="T21" s="39">
        <f t="shared" si="171"/>
        <v>6395.4714559311215</v>
      </c>
      <c r="U21" s="39">
        <f t="shared" si="171"/>
        <v>5809.493903247233</v>
      </c>
      <c r="V21" s="39">
        <f t="shared" si="171"/>
        <v>5223.5163505633445</v>
      </c>
      <c r="W21" s="39">
        <f t="shared" si="171"/>
        <v>4637.5387978794561</v>
      </c>
      <c r="X21" s="39">
        <f t="shared" si="171"/>
        <v>4051.5612451955676</v>
      </c>
      <c r="Y21" s="39">
        <f t="shared" si="171"/>
        <v>3465.5836925116791</v>
      </c>
      <c r="Z21" s="39">
        <f t="shared" si="171"/>
        <v>2879.6061398277907</v>
      </c>
      <c r="AA21" s="39">
        <f t="shared" si="171"/>
        <v>2293.6285871439022</v>
      </c>
      <c r="AB21" s="86">
        <f>O22</f>
        <v>9354.2725333333365</v>
      </c>
      <c r="AC21" s="39">
        <f>AA22</f>
        <v>1707.6510344600138</v>
      </c>
      <c r="AD21" s="39">
        <f>AC22</f>
        <v>2896.8798366208343</v>
      </c>
      <c r="AE21" s="39">
        <f t="shared" si="171"/>
        <v>4086.1086387816549</v>
      </c>
      <c r="AF21" s="39">
        <f t="shared" si="171"/>
        <v>5275.337440942476</v>
      </c>
      <c r="AG21" s="39">
        <f t="shared" si="171"/>
        <v>6464.5662431032961</v>
      </c>
      <c r="AH21" s="39">
        <f t="shared" si="171"/>
        <v>7653.7950452641162</v>
      </c>
      <c r="AI21" s="39">
        <f t="shared" si="171"/>
        <v>8843.0238474249363</v>
      </c>
      <c r="AJ21" s="39">
        <f t="shared" ref="AJ21" si="172">AI22</f>
        <v>10032.252649585756</v>
      </c>
      <c r="AK21" s="39">
        <f t="shared" ref="AK21" si="173">AJ22</f>
        <v>11221.481451746577</v>
      </c>
      <c r="AL21" s="39">
        <f t="shared" ref="AL21" si="174">AK22</f>
        <v>12410.710253907397</v>
      </c>
      <c r="AM21" s="39">
        <f t="shared" ref="AM21" si="175">AL22</f>
        <v>13599.939056068217</v>
      </c>
      <c r="AN21" s="39">
        <f t="shared" ref="AN21" si="176">AM22</f>
        <v>14789.167858229037</v>
      </c>
      <c r="AO21" s="86">
        <f>AB22</f>
        <v>2322.5419011266767</v>
      </c>
      <c r="AP21" s="39">
        <f>AN22</f>
        <v>15978.396660389857</v>
      </c>
      <c r="AQ21" s="39">
        <f t="shared" ref="AQ21" si="177">AP22</f>
        <v>18196.114245484347</v>
      </c>
      <c r="AR21" s="39">
        <f t="shared" ref="AR21" si="178">AQ22</f>
        <v>20413.831830578834</v>
      </c>
      <c r="AS21" s="39">
        <f t="shared" ref="AS21" si="179">AR22</f>
        <v>22631.549415673322</v>
      </c>
      <c r="AT21" s="39">
        <f t="shared" ref="AT21" si="180">AS22</f>
        <v>24849.26700076781</v>
      </c>
      <c r="AU21" s="39">
        <f t="shared" ref="AU21" si="181">AT22</f>
        <v>27066.984585862298</v>
      </c>
      <c r="AV21" s="39">
        <f t="shared" ref="AV21" si="182">AU22</f>
        <v>29284.702170956785</v>
      </c>
      <c r="AW21" s="39">
        <f t="shared" ref="AW21" si="183">AV22</f>
        <v>31502.419756051273</v>
      </c>
      <c r="AX21" s="39">
        <f t="shared" ref="AX21" si="184">AW22</f>
        <v>33720.137341145761</v>
      </c>
      <c r="AY21" s="39">
        <f t="shared" ref="AY21" si="185">AX22</f>
        <v>35937.854926240252</v>
      </c>
      <c r="AZ21" s="39">
        <f t="shared" ref="AZ21" si="186">AY22</f>
        <v>38155.572511334743</v>
      </c>
      <c r="BA21" s="39">
        <f t="shared" ref="BA21" si="187">AZ22</f>
        <v>40373.290096429235</v>
      </c>
      <c r="BB21" s="177">
        <f>AO22</f>
        <v>16593.28752705652</v>
      </c>
      <c r="BC21" s="181">
        <f>BA22</f>
        <v>42591.007681523726</v>
      </c>
      <c r="BD21" s="182">
        <f>BC22</f>
        <v>46804.970151641857</v>
      </c>
      <c r="BE21" s="182">
        <f t="shared" ref="BE21:BN21" si="188">BD22</f>
        <v>51018.932621759988</v>
      </c>
      <c r="BF21" s="182">
        <f t="shared" si="188"/>
        <v>55232.895091878119</v>
      </c>
      <c r="BG21" s="182">
        <f t="shared" si="188"/>
        <v>59446.85756199625</v>
      </c>
      <c r="BH21" s="182">
        <f t="shared" si="188"/>
        <v>63660.820032114381</v>
      </c>
      <c r="BI21" s="182">
        <f t="shared" si="188"/>
        <v>67874.782502232512</v>
      </c>
      <c r="BJ21" s="182">
        <f t="shared" si="188"/>
        <v>72088.744972350643</v>
      </c>
      <c r="BK21" s="182">
        <f t="shared" si="188"/>
        <v>76302.707442468774</v>
      </c>
      <c r="BL21" s="182">
        <f t="shared" si="188"/>
        <v>80516.669912586905</v>
      </c>
      <c r="BM21" s="182">
        <f t="shared" si="188"/>
        <v>84730.632382705036</v>
      </c>
      <c r="BN21" s="182">
        <f t="shared" si="188"/>
        <v>88944.594852823167</v>
      </c>
      <c r="BO21" s="188">
        <f>BB22</f>
        <v>43205.89854819038</v>
      </c>
      <c r="BP21" s="181">
        <f>BN22</f>
        <v>93158.557322941298</v>
      </c>
      <c r="BQ21" s="181">
        <f>BP22</f>
        <v>97447.554760269151</v>
      </c>
      <c r="BR21" s="181">
        <f t="shared" ref="BR21:CA21" si="189">BQ22</f>
        <v>101736.552197597</v>
      </c>
      <c r="BS21" s="181">
        <f t="shared" si="189"/>
        <v>106025.54963492486</v>
      </c>
      <c r="BT21" s="181">
        <f t="shared" si="189"/>
        <v>110314.54707225271</v>
      </c>
      <c r="BU21" s="181">
        <f t="shared" si="189"/>
        <v>114603.54450958056</v>
      </c>
      <c r="BV21" s="181">
        <f t="shared" si="189"/>
        <v>118892.54194690842</v>
      </c>
      <c r="BW21" s="181">
        <f t="shared" si="189"/>
        <v>123181.53938423627</v>
      </c>
      <c r="BX21" s="181">
        <f t="shared" si="189"/>
        <v>127470.53682156412</v>
      </c>
      <c r="BY21" s="181">
        <f t="shared" si="189"/>
        <v>131759.53425889197</v>
      </c>
      <c r="BZ21" s="181">
        <f t="shared" si="189"/>
        <v>136048.53169621981</v>
      </c>
      <c r="CA21" s="181">
        <f t="shared" si="189"/>
        <v>140337.52913354765</v>
      </c>
      <c r="CB21" s="188">
        <f>BO22</f>
        <v>93773.448189607923</v>
      </c>
      <c r="CC21" s="181">
        <f>CA22</f>
        <v>144626.52657087549</v>
      </c>
      <c r="CD21" s="181">
        <f>CC22</f>
        <v>149073.54234985958</v>
      </c>
      <c r="CE21" s="181">
        <f t="shared" ref="CE21:CN21" si="190">CD22</f>
        <v>153520.55812884367</v>
      </c>
      <c r="CF21" s="181">
        <f t="shared" si="190"/>
        <v>157967.57390782775</v>
      </c>
      <c r="CG21" s="181">
        <f t="shared" si="190"/>
        <v>162414.58968681184</v>
      </c>
      <c r="CH21" s="181">
        <f t="shared" si="190"/>
        <v>166861.60546579593</v>
      </c>
      <c r="CI21" s="181">
        <f t="shared" si="190"/>
        <v>171308.62124478002</v>
      </c>
      <c r="CJ21" s="181">
        <f t="shared" si="190"/>
        <v>175755.63702376411</v>
      </c>
      <c r="CK21" s="181">
        <f t="shared" si="190"/>
        <v>180202.6528027482</v>
      </c>
      <c r="CL21" s="181">
        <f t="shared" si="190"/>
        <v>184649.66858173229</v>
      </c>
      <c r="CM21" s="181">
        <f t="shared" si="190"/>
        <v>189096.68436071638</v>
      </c>
      <c r="CN21" s="181">
        <f t="shared" si="190"/>
        <v>193543.70013970046</v>
      </c>
      <c r="CO21" s="188">
        <f>CB22</f>
        <v>145241.41743754214</v>
      </c>
      <c r="CP21" s="181">
        <f>CN22</f>
        <v>197990.71591868455</v>
      </c>
      <c r="CQ21" s="181">
        <f>CP22</f>
        <v>202636.45381229857</v>
      </c>
      <c r="CR21" s="181">
        <f t="shared" ref="CR21:DA21" si="191">CQ22</f>
        <v>207282.19170591258</v>
      </c>
      <c r="CS21" s="181">
        <f t="shared" si="191"/>
        <v>211927.9295995266</v>
      </c>
      <c r="CT21" s="181">
        <f t="shared" si="191"/>
        <v>216573.66749314062</v>
      </c>
      <c r="CU21" s="181">
        <f t="shared" si="191"/>
        <v>221219.40538675463</v>
      </c>
      <c r="CV21" s="181">
        <f t="shared" si="191"/>
        <v>225865.14328036865</v>
      </c>
      <c r="CW21" s="181">
        <f t="shared" si="191"/>
        <v>230510.88117398266</v>
      </c>
      <c r="CX21" s="181">
        <f t="shared" si="191"/>
        <v>235156.61906759668</v>
      </c>
      <c r="CY21" s="181">
        <f t="shared" si="191"/>
        <v>239802.35696121069</v>
      </c>
      <c r="CZ21" s="181">
        <f t="shared" si="191"/>
        <v>244448.09485482471</v>
      </c>
      <c r="DA21" s="181">
        <f t="shared" si="191"/>
        <v>249093.83274843873</v>
      </c>
      <c r="DB21" s="188">
        <f>CO22</f>
        <v>198605.60678535132</v>
      </c>
      <c r="DC21" s="181">
        <f>DA22</f>
        <v>253739.57064205274</v>
      </c>
      <c r="DD21" s="181">
        <f>DC22</f>
        <v>258537.66565537438</v>
      </c>
      <c r="DE21" s="181">
        <f t="shared" ref="DE21:DN21" si="192">DD22</f>
        <v>263335.76066869602</v>
      </c>
      <c r="DF21" s="181">
        <f t="shared" si="192"/>
        <v>268133.85568201763</v>
      </c>
      <c r="DG21" s="181">
        <f t="shared" si="192"/>
        <v>272931.95069533924</v>
      </c>
      <c r="DH21" s="181">
        <f t="shared" si="192"/>
        <v>277730.04570866085</v>
      </c>
      <c r="DI21" s="181">
        <f t="shared" si="192"/>
        <v>282528.14072198246</v>
      </c>
      <c r="DJ21" s="181">
        <f t="shared" si="192"/>
        <v>287326.23573530407</v>
      </c>
      <c r="DK21" s="181">
        <f t="shared" si="192"/>
        <v>292124.33074862568</v>
      </c>
      <c r="DL21" s="181">
        <f t="shared" si="192"/>
        <v>296922.42576194729</v>
      </c>
      <c r="DM21" s="181">
        <f t="shared" si="192"/>
        <v>301720.5207752689</v>
      </c>
      <c r="DN21" s="181">
        <f t="shared" si="192"/>
        <v>306518.61578859051</v>
      </c>
      <c r="DO21" s="188">
        <f>DB22</f>
        <v>254354.46150871937</v>
      </c>
    </row>
    <row r="22" spans="1:119" s="23" customFormat="1" ht="36" thickTop="1" thickBot="1">
      <c r="B22" s="26" t="s">
        <v>35</v>
      </c>
      <c r="C22" s="41">
        <f>C8+C11+C19</f>
        <v>0</v>
      </c>
      <c r="D22" s="41">
        <f>D20+C22</f>
        <v>0</v>
      </c>
      <c r="E22" s="41">
        <f t="shared" ref="E22:G22" si="193">E20+D22</f>
        <v>0</v>
      </c>
      <c r="F22" s="41">
        <f t="shared" si="193"/>
        <v>0</v>
      </c>
      <c r="G22" s="41">
        <f t="shared" si="193"/>
        <v>0</v>
      </c>
      <c r="H22" s="41">
        <v>0</v>
      </c>
      <c r="I22" s="41">
        <v>0</v>
      </c>
      <c r="J22" s="41">
        <f>J20+I22</f>
        <v>-6511.8458000000001</v>
      </c>
      <c r="K22" s="41">
        <f t="shared" ref="K22:N22" si="194">K20+J22</f>
        <v>-13023.6916</v>
      </c>
      <c r="L22" s="41">
        <f t="shared" si="194"/>
        <v>21763.073266666674</v>
      </c>
      <c r="M22" s="41">
        <f t="shared" si="194"/>
        <v>15251.227466666674</v>
      </c>
      <c r="N22" s="41">
        <f t="shared" si="194"/>
        <v>8739.3816666666753</v>
      </c>
      <c r="O22" s="42">
        <f>O20</f>
        <v>9354.2725333333365</v>
      </c>
      <c r="P22" s="41">
        <f>P21+P20</f>
        <v>8153.4041139827868</v>
      </c>
      <c r="Q22" s="41">
        <f t="shared" ref="Q22:Z22" si="195">Q21+Q20</f>
        <v>7567.4265612988984</v>
      </c>
      <c r="R22" s="41">
        <f t="shared" si="195"/>
        <v>6981.4490086150099</v>
      </c>
      <c r="S22" s="41">
        <f t="shared" si="195"/>
        <v>6395.4714559311215</v>
      </c>
      <c r="T22" s="41">
        <f t="shared" si="195"/>
        <v>5809.493903247233</v>
      </c>
      <c r="U22" s="41">
        <f t="shared" si="195"/>
        <v>5223.5163505633445</v>
      </c>
      <c r="V22" s="41">
        <f t="shared" si="195"/>
        <v>4637.5387978794561</v>
      </c>
      <c r="W22" s="41">
        <f t="shared" si="195"/>
        <v>4051.5612451955676</v>
      </c>
      <c r="X22" s="41">
        <f t="shared" si="195"/>
        <v>3465.5836925116791</v>
      </c>
      <c r="Y22" s="41">
        <f t="shared" si="195"/>
        <v>2879.6061398277907</v>
      </c>
      <c r="Z22" s="41">
        <f t="shared" si="195"/>
        <v>2293.6285871439022</v>
      </c>
      <c r="AA22" s="41">
        <f>AA21+AA20</f>
        <v>1707.6510344600138</v>
      </c>
      <c r="AB22" s="42">
        <f>AB20+AB21</f>
        <v>2322.5419011266767</v>
      </c>
      <c r="AC22" s="41">
        <f>AC21+AC20</f>
        <v>2896.8798366208343</v>
      </c>
      <c r="AD22" s="41">
        <f t="shared" ref="AD22:AI22" si="196">AD21+AD20</f>
        <v>4086.1086387816549</v>
      </c>
      <c r="AE22" s="41">
        <f t="shared" si="196"/>
        <v>5275.337440942476</v>
      </c>
      <c r="AF22" s="41">
        <f t="shared" si="196"/>
        <v>6464.5662431032961</v>
      </c>
      <c r="AG22" s="41">
        <f t="shared" si="196"/>
        <v>7653.7950452641162</v>
      </c>
      <c r="AH22" s="41">
        <f t="shared" si="196"/>
        <v>8843.0238474249363</v>
      </c>
      <c r="AI22" s="41">
        <f t="shared" si="196"/>
        <v>10032.252649585756</v>
      </c>
      <c r="AJ22" s="41">
        <f t="shared" ref="AJ22:AN22" si="197">AJ21+AJ20</f>
        <v>11221.481451746577</v>
      </c>
      <c r="AK22" s="41">
        <f t="shared" si="197"/>
        <v>12410.710253907397</v>
      </c>
      <c r="AL22" s="41">
        <f t="shared" si="197"/>
        <v>13599.939056068217</v>
      </c>
      <c r="AM22" s="41">
        <f t="shared" si="197"/>
        <v>14789.167858229037</v>
      </c>
      <c r="AN22" s="41">
        <f t="shared" si="197"/>
        <v>15978.396660389857</v>
      </c>
      <c r="AO22" s="42">
        <f>AO20+AO21</f>
        <v>16593.28752705652</v>
      </c>
      <c r="AP22" s="41">
        <f t="shared" ref="AP22:BA22" si="198">AP21+AP20</f>
        <v>18196.114245484347</v>
      </c>
      <c r="AQ22" s="41">
        <f t="shared" si="198"/>
        <v>20413.831830578834</v>
      </c>
      <c r="AR22" s="41">
        <f t="shared" si="198"/>
        <v>22631.549415673322</v>
      </c>
      <c r="AS22" s="41">
        <f t="shared" si="198"/>
        <v>24849.26700076781</v>
      </c>
      <c r="AT22" s="41">
        <f t="shared" si="198"/>
        <v>27066.984585862298</v>
      </c>
      <c r="AU22" s="41">
        <f t="shared" si="198"/>
        <v>29284.702170956785</v>
      </c>
      <c r="AV22" s="41">
        <f t="shared" si="198"/>
        <v>31502.419756051273</v>
      </c>
      <c r="AW22" s="41">
        <f t="shared" si="198"/>
        <v>33720.137341145761</v>
      </c>
      <c r="AX22" s="41">
        <f t="shared" si="198"/>
        <v>35937.854926240252</v>
      </c>
      <c r="AY22" s="41">
        <f t="shared" si="198"/>
        <v>38155.572511334743</v>
      </c>
      <c r="AZ22" s="41">
        <f t="shared" si="198"/>
        <v>40373.290096429235</v>
      </c>
      <c r="BA22" s="41">
        <f t="shared" si="198"/>
        <v>42591.007681523726</v>
      </c>
      <c r="BB22" s="178">
        <f>BB20+BB21</f>
        <v>43205.89854819038</v>
      </c>
      <c r="BC22" s="181">
        <f>BC21+BC20</f>
        <v>46804.970151641857</v>
      </c>
      <c r="BD22" s="181">
        <f t="shared" ref="BD22:BN22" si="199">BD21+BD20</f>
        <v>51018.932621759988</v>
      </c>
      <c r="BE22" s="181">
        <f t="shared" si="199"/>
        <v>55232.895091878119</v>
      </c>
      <c r="BF22" s="181">
        <f t="shared" si="199"/>
        <v>59446.85756199625</v>
      </c>
      <c r="BG22" s="181">
        <f t="shared" si="199"/>
        <v>63660.820032114381</v>
      </c>
      <c r="BH22" s="181">
        <f t="shared" si="199"/>
        <v>67874.782502232512</v>
      </c>
      <c r="BI22" s="181">
        <f t="shared" si="199"/>
        <v>72088.744972350643</v>
      </c>
      <c r="BJ22" s="181">
        <f t="shared" si="199"/>
        <v>76302.707442468774</v>
      </c>
      <c r="BK22" s="181">
        <f t="shared" si="199"/>
        <v>80516.669912586905</v>
      </c>
      <c r="BL22" s="181">
        <f t="shared" si="199"/>
        <v>84730.632382705036</v>
      </c>
      <c r="BM22" s="181">
        <f t="shared" si="199"/>
        <v>88944.594852823167</v>
      </c>
      <c r="BN22" s="181">
        <f t="shared" si="199"/>
        <v>93158.557322941298</v>
      </c>
      <c r="BO22" s="189">
        <f>BO21+BO20</f>
        <v>93773.448189607923</v>
      </c>
      <c r="BP22" s="181">
        <f>BP21+BP20</f>
        <v>97447.554760269151</v>
      </c>
      <c r="BQ22" s="181">
        <f>BQ21+BQ20</f>
        <v>101736.552197597</v>
      </c>
      <c r="BR22" s="181">
        <f t="shared" ref="BR22:BZ22" si="200">BR21+BR20</f>
        <v>106025.54963492486</v>
      </c>
      <c r="BS22" s="181">
        <f t="shared" si="200"/>
        <v>110314.54707225271</v>
      </c>
      <c r="BT22" s="181">
        <f t="shared" si="200"/>
        <v>114603.54450958056</v>
      </c>
      <c r="BU22" s="181">
        <f t="shared" si="200"/>
        <v>118892.54194690842</v>
      </c>
      <c r="BV22" s="181">
        <f t="shared" si="200"/>
        <v>123181.53938423627</v>
      </c>
      <c r="BW22" s="181">
        <f t="shared" si="200"/>
        <v>127470.53682156412</v>
      </c>
      <c r="BX22" s="181">
        <f t="shared" si="200"/>
        <v>131759.53425889197</v>
      </c>
      <c r="BY22" s="181">
        <f t="shared" si="200"/>
        <v>136048.53169621981</v>
      </c>
      <c r="BZ22" s="181">
        <f t="shared" si="200"/>
        <v>140337.52913354765</v>
      </c>
      <c r="CA22" s="181">
        <f>CA21+CA20</f>
        <v>144626.52657087549</v>
      </c>
      <c r="CB22" s="189">
        <f>CB20+CB21</f>
        <v>145241.41743754214</v>
      </c>
      <c r="CC22" s="181">
        <f>CC21+CC20</f>
        <v>149073.54234985958</v>
      </c>
      <c r="CD22" s="181">
        <f>CD21+CD20</f>
        <v>153520.55812884367</v>
      </c>
      <c r="CE22" s="181">
        <f t="shared" ref="CE22" si="201">CE21+CE20</f>
        <v>157967.57390782775</v>
      </c>
      <c r="CF22" s="181">
        <f t="shared" ref="CF22" si="202">CF21+CF20</f>
        <v>162414.58968681184</v>
      </c>
      <c r="CG22" s="181">
        <f t="shared" ref="CG22" si="203">CG21+CG20</f>
        <v>166861.60546579593</v>
      </c>
      <c r="CH22" s="181">
        <f t="shared" ref="CH22" si="204">CH21+CH20</f>
        <v>171308.62124478002</v>
      </c>
      <c r="CI22" s="181">
        <f t="shared" ref="CI22" si="205">CI21+CI20</f>
        <v>175755.63702376411</v>
      </c>
      <c r="CJ22" s="181">
        <f t="shared" ref="CJ22" si="206">CJ21+CJ20</f>
        <v>180202.6528027482</v>
      </c>
      <c r="CK22" s="181">
        <f t="shared" ref="CK22" si="207">CK21+CK20</f>
        <v>184649.66858173229</v>
      </c>
      <c r="CL22" s="181">
        <f t="shared" ref="CL22" si="208">CL21+CL20</f>
        <v>189096.68436071638</v>
      </c>
      <c r="CM22" s="181">
        <f t="shared" ref="CM22" si="209">CM21+CM20</f>
        <v>193543.70013970046</v>
      </c>
      <c r="CN22" s="181">
        <f>CN21+CN20</f>
        <v>197990.71591868455</v>
      </c>
      <c r="CO22" s="189">
        <f>CO20+CO21</f>
        <v>198605.60678535132</v>
      </c>
      <c r="CP22" s="181">
        <f>CP21+CP20</f>
        <v>202636.45381229857</v>
      </c>
      <c r="CQ22" s="181">
        <f>CQ21+CQ20</f>
        <v>207282.19170591258</v>
      </c>
      <c r="CR22" s="181">
        <f t="shared" ref="CR22" si="210">CR21+CR20</f>
        <v>211927.9295995266</v>
      </c>
      <c r="CS22" s="181">
        <f t="shared" ref="CS22" si="211">CS21+CS20</f>
        <v>216573.66749314062</v>
      </c>
      <c r="CT22" s="181">
        <f t="shared" ref="CT22" si="212">CT21+CT20</f>
        <v>221219.40538675463</v>
      </c>
      <c r="CU22" s="181">
        <f t="shared" ref="CU22" si="213">CU21+CU20</f>
        <v>225865.14328036865</v>
      </c>
      <c r="CV22" s="181">
        <f t="shared" ref="CV22" si="214">CV21+CV20</f>
        <v>230510.88117398266</v>
      </c>
      <c r="CW22" s="181">
        <f t="shared" ref="CW22" si="215">CW21+CW20</f>
        <v>235156.61906759668</v>
      </c>
      <c r="CX22" s="181">
        <f t="shared" ref="CX22" si="216">CX21+CX20</f>
        <v>239802.35696121069</v>
      </c>
      <c r="CY22" s="181">
        <f t="shared" ref="CY22" si="217">CY21+CY20</f>
        <v>244448.09485482471</v>
      </c>
      <c r="CZ22" s="181">
        <f t="shared" ref="CZ22" si="218">CZ21+CZ20</f>
        <v>249093.83274843873</v>
      </c>
      <c r="DA22" s="181">
        <f>DA21+DA20</f>
        <v>253739.57064205274</v>
      </c>
      <c r="DB22" s="189">
        <f>DB20+DB21</f>
        <v>254354.46150871937</v>
      </c>
      <c r="DC22" s="181">
        <f>DC21+DC20</f>
        <v>258537.66565537438</v>
      </c>
      <c r="DD22" s="181">
        <f>DD21+DD20</f>
        <v>263335.76066869602</v>
      </c>
      <c r="DE22" s="181">
        <f t="shared" ref="DE22" si="219">DE21+DE20</f>
        <v>268133.85568201763</v>
      </c>
      <c r="DF22" s="181">
        <f t="shared" ref="DF22" si="220">DF21+DF20</f>
        <v>272931.95069533924</v>
      </c>
      <c r="DG22" s="181">
        <f t="shared" ref="DG22" si="221">DG21+DG20</f>
        <v>277730.04570866085</v>
      </c>
      <c r="DH22" s="181">
        <f t="shared" ref="DH22" si="222">DH21+DH20</f>
        <v>282528.14072198246</v>
      </c>
      <c r="DI22" s="181">
        <f t="shared" ref="DI22" si="223">DI21+DI20</f>
        <v>287326.23573530407</v>
      </c>
      <c r="DJ22" s="181">
        <f t="shared" ref="DJ22" si="224">DJ21+DJ20</f>
        <v>292124.33074862568</v>
      </c>
      <c r="DK22" s="181">
        <f t="shared" ref="DK22" si="225">DK21+DK20</f>
        <v>296922.42576194729</v>
      </c>
      <c r="DL22" s="181">
        <f t="shared" ref="DL22" si="226">DL21+DL20</f>
        <v>301720.5207752689</v>
      </c>
      <c r="DM22" s="181">
        <f t="shared" ref="DM22" si="227">DM21+DM20</f>
        <v>306518.61578859051</v>
      </c>
      <c r="DN22" s="181">
        <f>DN21+DN20</f>
        <v>311316.71080191212</v>
      </c>
      <c r="DO22" s="189">
        <f>DO20+DO21</f>
        <v>311931.60166857898</v>
      </c>
    </row>
    <row r="23" spans="1:119" s="23" customFormat="1" ht="17" thickTop="1">
      <c r="B23" s="33"/>
      <c r="C23" s="34">
        <f>C8</f>
        <v>0</v>
      </c>
      <c r="D23" s="34">
        <f t="shared" ref="D23:BA23" si="228">D8</f>
        <v>0</v>
      </c>
      <c r="E23" s="34">
        <f t="shared" si="228"/>
        <v>0</v>
      </c>
      <c r="F23" s="34">
        <f t="shared" si="228"/>
        <v>0</v>
      </c>
      <c r="G23" s="34">
        <f t="shared" si="228"/>
        <v>0</v>
      </c>
      <c r="H23" s="34">
        <f t="shared" si="228"/>
        <v>-5086.4984666666669</v>
      </c>
      <c r="I23" s="34">
        <f t="shared" si="228"/>
        <v>-5086.4984666666669</v>
      </c>
      <c r="J23" s="34">
        <f t="shared" si="228"/>
        <v>-5086.4984666666669</v>
      </c>
      <c r="K23" s="34">
        <f t="shared" si="228"/>
        <v>-5086.4984666666669</v>
      </c>
      <c r="L23" s="34">
        <f t="shared" si="228"/>
        <v>-5086.4984666666669</v>
      </c>
      <c r="M23" s="34">
        <f t="shared" si="228"/>
        <v>-5086.4984666666669</v>
      </c>
      <c r="N23" s="34">
        <f t="shared" si="228"/>
        <v>-5086.4984666666669</v>
      </c>
      <c r="O23" s="34"/>
      <c r="P23" s="34">
        <f t="shared" si="228"/>
        <v>322.66883620500039</v>
      </c>
      <c r="Q23" s="34">
        <f t="shared" si="228"/>
        <v>322.66883620500039</v>
      </c>
      <c r="R23" s="34">
        <f t="shared" si="228"/>
        <v>322.66883620500039</v>
      </c>
      <c r="S23" s="34">
        <f t="shared" si="228"/>
        <v>322.66883620500039</v>
      </c>
      <c r="T23" s="34">
        <f t="shared" si="228"/>
        <v>322.66883620500039</v>
      </c>
      <c r="U23" s="34">
        <f t="shared" si="228"/>
        <v>322.66883620500039</v>
      </c>
      <c r="V23" s="34">
        <f t="shared" si="228"/>
        <v>322.66883620500039</v>
      </c>
      <c r="W23" s="34">
        <f t="shared" si="228"/>
        <v>322.66883620500039</v>
      </c>
      <c r="X23" s="34">
        <f t="shared" si="228"/>
        <v>322.66883620500039</v>
      </c>
      <c r="Y23" s="34">
        <f t="shared" si="228"/>
        <v>322.66883620500039</v>
      </c>
      <c r="Z23" s="34">
        <f t="shared" si="228"/>
        <v>322.66883620500039</v>
      </c>
      <c r="AA23" s="34">
        <f t="shared" si="228"/>
        <v>322.66883620500039</v>
      </c>
      <c r="AB23" s="34"/>
      <c r="AC23" s="34">
        <f t="shared" si="228"/>
        <v>2088.4126910497093</v>
      </c>
      <c r="AD23" s="34">
        <f t="shared" si="228"/>
        <v>2088.4126910497093</v>
      </c>
      <c r="AE23" s="34">
        <f t="shared" si="228"/>
        <v>2088.4126910497093</v>
      </c>
      <c r="AF23" s="34">
        <f t="shared" si="228"/>
        <v>2088.4126910497093</v>
      </c>
      <c r="AG23" s="34">
        <f t="shared" si="228"/>
        <v>2088.4126910497093</v>
      </c>
      <c r="AH23" s="34">
        <f t="shared" si="228"/>
        <v>2088.4126910497093</v>
      </c>
      <c r="AI23" s="34">
        <f t="shared" si="228"/>
        <v>2088.4126910497093</v>
      </c>
      <c r="AJ23" s="34">
        <f t="shared" si="228"/>
        <v>2088.4126910497093</v>
      </c>
      <c r="AK23" s="34">
        <f t="shared" si="228"/>
        <v>2088.4126910497093</v>
      </c>
      <c r="AL23" s="34">
        <f t="shared" si="228"/>
        <v>2088.4126910497093</v>
      </c>
      <c r="AM23" s="34">
        <f t="shared" si="228"/>
        <v>2088.4126910497093</v>
      </c>
      <c r="AN23" s="34">
        <f t="shared" si="228"/>
        <v>2088.4126910497093</v>
      </c>
      <c r="AO23" s="34"/>
      <c r="AP23" s="34">
        <f t="shared" si="228"/>
        <v>3107.153973983377</v>
      </c>
      <c r="AQ23" s="34">
        <f t="shared" si="228"/>
        <v>3107.153973983377</v>
      </c>
      <c r="AR23" s="34">
        <f t="shared" si="228"/>
        <v>3107.153973983377</v>
      </c>
      <c r="AS23" s="34">
        <f t="shared" si="228"/>
        <v>3107.153973983377</v>
      </c>
      <c r="AT23" s="34">
        <f t="shared" si="228"/>
        <v>3107.153973983377</v>
      </c>
      <c r="AU23" s="34">
        <f t="shared" si="228"/>
        <v>3107.153973983377</v>
      </c>
      <c r="AV23" s="34">
        <f t="shared" si="228"/>
        <v>3107.153973983377</v>
      </c>
      <c r="AW23" s="34">
        <f t="shared" si="228"/>
        <v>3107.153973983377</v>
      </c>
      <c r="AX23" s="34">
        <f t="shared" si="228"/>
        <v>3107.153973983377</v>
      </c>
      <c r="AY23" s="34">
        <f t="shared" si="228"/>
        <v>3107.153973983377</v>
      </c>
      <c r="AZ23" s="34">
        <f t="shared" si="228"/>
        <v>3107.153973983377</v>
      </c>
      <c r="BA23" s="34">
        <f t="shared" si="228"/>
        <v>3107.153973983377</v>
      </c>
      <c r="BB23" s="34"/>
      <c r="BC23" s="34">
        <f t="shared" ref="BC23:BN23" si="229">BC8</f>
        <v>4938.2478343526236</v>
      </c>
      <c r="BD23" s="34">
        <f t="shared" si="229"/>
        <v>4938.2478343526236</v>
      </c>
      <c r="BE23" s="34">
        <f t="shared" si="229"/>
        <v>4938.2478343526236</v>
      </c>
      <c r="BF23" s="34">
        <f t="shared" si="229"/>
        <v>4938.2478343526236</v>
      </c>
      <c r="BG23" s="34">
        <f t="shared" si="229"/>
        <v>4938.2478343526236</v>
      </c>
      <c r="BH23" s="34">
        <f t="shared" si="229"/>
        <v>4938.2478343526236</v>
      </c>
      <c r="BI23" s="34">
        <f t="shared" si="229"/>
        <v>4938.2478343526236</v>
      </c>
      <c r="BJ23" s="34">
        <f t="shared" si="229"/>
        <v>4938.2478343526236</v>
      </c>
      <c r="BK23" s="34">
        <f t="shared" si="229"/>
        <v>4938.2478343526236</v>
      </c>
      <c r="BL23" s="34">
        <f t="shared" si="229"/>
        <v>4938.2478343526236</v>
      </c>
      <c r="BM23" s="34">
        <f t="shared" si="229"/>
        <v>4938.2478343526236</v>
      </c>
      <c r="BN23" s="34">
        <f t="shared" si="229"/>
        <v>4938.2478343526236</v>
      </c>
      <c r="BO23" s="34"/>
      <c r="BP23" s="34">
        <f t="shared" ref="BP23:CA23" si="230">BP8</f>
        <v>4288.997437327851</v>
      </c>
      <c r="BQ23" s="34">
        <f t="shared" si="230"/>
        <v>4288.997437327851</v>
      </c>
      <c r="BR23" s="34">
        <f t="shared" si="230"/>
        <v>4288.997437327851</v>
      </c>
      <c r="BS23" s="34">
        <f t="shared" si="230"/>
        <v>4288.997437327851</v>
      </c>
      <c r="BT23" s="34">
        <f t="shared" si="230"/>
        <v>4288.997437327851</v>
      </c>
      <c r="BU23" s="34">
        <f t="shared" si="230"/>
        <v>4288.997437327851</v>
      </c>
      <c r="BV23" s="34">
        <f t="shared" si="230"/>
        <v>4288.997437327851</v>
      </c>
      <c r="BW23" s="34">
        <f t="shared" si="230"/>
        <v>4288.997437327851</v>
      </c>
      <c r="BX23" s="34">
        <f t="shared" si="230"/>
        <v>4288.997437327851</v>
      </c>
      <c r="BY23" s="34">
        <f t="shared" si="230"/>
        <v>4288.997437327851</v>
      </c>
      <c r="BZ23" s="34">
        <f t="shared" si="230"/>
        <v>4288.997437327851</v>
      </c>
      <c r="CA23" s="34">
        <f t="shared" si="230"/>
        <v>4288.997437327851</v>
      </c>
      <c r="CC23" s="34">
        <f t="shared" ref="CC23:CN23" si="231">CC8</f>
        <v>4447.0157789840978</v>
      </c>
      <c r="CD23" s="34">
        <f t="shared" si="231"/>
        <v>4447.0157789840978</v>
      </c>
      <c r="CE23" s="34">
        <f t="shared" si="231"/>
        <v>4447.0157789840978</v>
      </c>
      <c r="CF23" s="34">
        <f t="shared" si="231"/>
        <v>4447.0157789840978</v>
      </c>
      <c r="CG23" s="34">
        <f t="shared" si="231"/>
        <v>4447.0157789840978</v>
      </c>
      <c r="CH23" s="34">
        <f t="shared" si="231"/>
        <v>4447.0157789840978</v>
      </c>
      <c r="CI23" s="34">
        <f t="shared" si="231"/>
        <v>4447.0157789840978</v>
      </c>
      <c r="CJ23" s="34">
        <f t="shared" si="231"/>
        <v>4447.0157789840978</v>
      </c>
      <c r="CK23" s="34">
        <f t="shared" si="231"/>
        <v>4447.0157789840978</v>
      </c>
      <c r="CL23" s="34">
        <f t="shared" si="231"/>
        <v>4447.0157789840978</v>
      </c>
      <c r="CM23" s="34">
        <f t="shared" si="231"/>
        <v>4447.0157789840978</v>
      </c>
      <c r="CN23" s="34">
        <f t="shared" si="231"/>
        <v>4447.0157789840978</v>
      </c>
      <c r="CP23" s="34">
        <f t="shared" ref="CP23:DA23" si="232">CP8</f>
        <v>4645.7378936140021</v>
      </c>
      <c r="CQ23" s="34">
        <f t="shared" si="232"/>
        <v>4645.7378936140021</v>
      </c>
      <c r="CR23" s="34">
        <f t="shared" si="232"/>
        <v>4645.7378936140021</v>
      </c>
      <c r="CS23" s="34">
        <f t="shared" si="232"/>
        <v>4645.7378936140021</v>
      </c>
      <c r="CT23" s="34">
        <f t="shared" si="232"/>
        <v>4645.7378936140021</v>
      </c>
      <c r="CU23" s="34">
        <f t="shared" si="232"/>
        <v>4645.7378936140021</v>
      </c>
      <c r="CV23" s="34">
        <f t="shared" si="232"/>
        <v>4645.7378936140021</v>
      </c>
      <c r="CW23" s="34">
        <f t="shared" si="232"/>
        <v>4645.7378936140021</v>
      </c>
      <c r="CX23" s="34">
        <f t="shared" si="232"/>
        <v>4645.7378936140021</v>
      </c>
      <c r="CY23" s="34">
        <f t="shared" si="232"/>
        <v>4645.7378936140021</v>
      </c>
      <c r="CZ23" s="34">
        <f t="shared" si="232"/>
        <v>4645.7378936140021</v>
      </c>
      <c r="DA23" s="34">
        <f t="shared" si="232"/>
        <v>4645.7378936140021</v>
      </c>
      <c r="DC23" s="34">
        <f t="shared" ref="DC23:DN23" si="233">DC8</f>
        <v>4798.0950133216347</v>
      </c>
      <c r="DD23" s="34">
        <f t="shared" si="233"/>
        <v>4798.0950133216347</v>
      </c>
      <c r="DE23" s="34">
        <f t="shared" si="233"/>
        <v>4798.0950133216347</v>
      </c>
      <c r="DF23" s="34">
        <f t="shared" si="233"/>
        <v>4798.0950133216347</v>
      </c>
      <c r="DG23" s="34">
        <f t="shared" si="233"/>
        <v>4798.0950133216347</v>
      </c>
      <c r="DH23" s="34">
        <f t="shared" si="233"/>
        <v>4798.0950133216347</v>
      </c>
      <c r="DI23" s="34">
        <f t="shared" si="233"/>
        <v>4798.0950133216347</v>
      </c>
      <c r="DJ23" s="34">
        <f t="shared" si="233"/>
        <v>4798.0950133216347</v>
      </c>
      <c r="DK23" s="34">
        <f t="shared" si="233"/>
        <v>4798.0950133216347</v>
      </c>
      <c r="DL23" s="34">
        <f t="shared" si="233"/>
        <v>4798.0950133216347</v>
      </c>
      <c r="DM23" s="34">
        <f t="shared" si="233"/>
        <v>4798.0950133216347</v>
      </c>
      <c r="DN23" s="34">
        <f t="shared" si="233"/>
        <v>4798.0950133216347</v>
      </c>
    </row>
    <row r="24" spans="1:119" ht="16">
      <c r="A24" s="10"/>
      <c r="B24" s="10"/>
      <c r="C24" s="19">
        <v>1</v>
      </c>
      <c r="D24" s="19">
        <v>2</v>
      </c>
      <c r="E24" s="19">
        <v>3</v>
      </c>
      <c r="F24" s="19">
        <v>4</v>
      </c>
      <c r="G24" s="19">
        <v>5</v>
      </c>
      <c r="H24" s="19">
        <v>6</v>
      </c>
      <c r="I24" s="19">
        <v>7</v>
      </c>
      <c r="J24" s="19">
        <v>8</v>
      </c>
      <c r="K24" s="19">
        <v>9</v>
      </c>
      <c r="L24" s="19">
        <v>10</v>
      </c>
      <c r="M24" s="19">
        <v>11</v>
      </c>
      <c r="N24" s="19">
        <v>12</v>
      </c>
      <c r="O24" s="19"/>
      <c r="P24" s="19">
        <f>N24+1</f>
        <v>13</v>
      </c>
      <c r="Q24" s="19">
        <v>14</v>
      </c>
      <c r="R24" s="19">
        <v>15</v>
      </c>
      <c r="S24" s="19">
        <f>R24+1</f>
        <v>16</v>
      </c>
      <c r="T24" s="19">
        <f t="shared" ref="T24:AA24" si="234">S24+1</f>
        <v>17</v>
      </c>
      <c r="U24" s="19">
        <f t="shared" si="234"/>
        <v>18</v>
      </c>
      <c r="V24" s="19">
        <f t="shared" si="234"/>
        <v>19</v>
      </c>
      <c r="W24" s="19">
        <f t="shared" si="234"/>
        <v>20</v>
      </c>
      <c r="X24" s="19">
        <f t="shared" si="234"/>
        <v>21</v>
      </c>
      <c r="Y24" s="19">
        <f t="shared" si="234"/>
        <v>22</v>
      </c>
      <c r="Z24" s="19">
        <f t="shared" si="234"/>
        <v>23</v>
      </c>
      <c r="AA24" s="19">
        <f t="shared" si="234"/>
        <v>24</v>
      </c>
      <c r="AC24" s="19">
        <v>25</v>
      </c>
      <c r="AD24" s="19">
        <f>AC24+1</f>
        <v>26</v>
      </c>
      <c r="AE24" s="19">
        <f t="shared" ref="AE24:AN24" si="235">AD24+1</f>
        <v>27</v>
      </c>
      <c r="AF24" s="19">
        <f t="shared" si="235"/>
        <v>28</v>
      </c>
      <c r="AG24" s="19">
        <f t="shared" si="235"/>
        <v>29</v>
      </c>
      <c r="AH24" s="19">
        <f t="shared" si="235"/>
        <v>30</v>
      </c>
      <c r="AI24" s="19">
        <f t="shared" si="235"/>
        <v>31</v>
      </c>
      <c r="AJ24" s="19">
        <f t="shared" si="235"/>
        <v>32</v>
      </c>
      <c r="AK24" s="19">
        <f t="shared" si="235"/>
        <v>33</v>
      </c>
      <c r="AL24" s="19">
        <f t="shared" si="235"/>
        <v>34</v>
      </c>
      <c r="AM24" s="19">
        <f t="shared" si="235"/>
        <v>35</v>
      </c>
      <c r="AN24" s="19">
        <f t="shared" si="235"/>
        <v>36</v>
      </c>
      <c r="AP24" s="19">
        <f>AN24+1</f>
        <v>37</v>
      </c>
      <c r="AQ24" s="19">
        <f>AP24+1</f>
        <v>38</v>
      </c>
      <c r="AR24" s="19">
        <f t="shared" ref="AR24:BA24" si="236">AQ24+1</f>
        <v>39</v>
      </c>
      <c r="AS24" s="19">
        <f t="shared" si="236"/>
        <v>40</v>
      </c>
      <c r="AT24" s="19">
        <f t="shared" si="236"/>
        <v>41</v>
      </c>
      <c r="AU24" s="19">
        <f t="shared" si="236"/>
        <v>42</v>
      </c>
      <c r="AV24" s="19">
        <f t="shared" si="236"/>
        <v>43</v>
      </c>
      <c r="AW24" s="19">
        <f t="shared" si="236"/>
        <v>44</v>
      </c>
      <c r="AX24" s="19">
        <f t="shared" si="236"/>
        <v>45</v>
      </c>
      <c r="AY24" s="19">
        <f t="shared" si="236"/>
        <v>46</v>
      </c>
      <c r="AZ24" s="19">
        <f t="shared" si="236"/>
        <v>47</v>
      </c>
      <c r="BA24" s="19">
        <f t="shared" si="236"/>
        <v>48</v>
      </c>
      <c r="BB24" s="19"/>
      <c r="BC24" s="19">
        <v>49</v>
      </c>
      <c r="BD24" s="19">
        <f t="shared" ref="BD24" si="237">BC24+1</f>
        <v>50</v>
      </c>
      <c r="BE24" s="19">
        <f t="shared" ref="BE24" si="238">BD24+1</f>
        <v>51</v>
      </c>
      <c r="BF24" s="19">
        <f t="shared" ref="BF24" si="239">BE24+1</f>
        <v>52</v>
      </c>
      <c r="BG24" s="19">
        <f t="shared" ref="BG24" si="240">BF24+1</f>
        <v>53</v>
      </c>
      <c r="BH24" s="19">
        <f t="shared" ref="BH24" si="241">BG24+1</f>
        <v>54</v>
      </c>
      <c r="BI24" s="19">
        <f t="shared" ref="BI24" si="242">BH24+1</f>
        <v>55</v>
      </c>
      <c r="BJ24" s="19">
        <f t="shared" ref="BJ24" si="243">BI24+1</f>
        <v>56</v>
      </c>
      <c r="BK24" s="19">
        <f t="shared" ref="BK24" si="244">BJ24+1</f>
        <v>57</v>
      </c>
      <c r="BL24" s="19">
        <f t="shared" ref="BL24" si="245">BK24+1</f>
        <v>58</v>
      </c>
      <c r="BM24" s="19">
        <f t="shared" ref="BM24" si="246">BL24+1</f>
        <v>59</v>
      </c>
      <c r="BN24" s="19">
        <f t="shared" ref="BN24" si="247">BM24+1</f>
        <v>60</v>
      </c>
      <c r="BO24" s="19"/>
      <c r="BP24" s="19">
        <v>61</v>
      </c>
      <c r="BQ24" s="19">
        <f t="shared" ref="BQ24" si="248">BP24+1</f>
        <v>62</v>
      </c>
      <c r="BR24" s="19">
        <f t="shared" ref="BR24" si="249">BQ24+1</f>
        <v>63</v>
      </c>
      <c r="BS24" s="19">
        <f t="shared" ref="BS24" si="250">BR24+1</f>
        <v>64</v>
      </c>
      <c r="BT24" s="19">
        <f t="shared" ref="BT24" si="251">BS24+1</f>
        <v>65</v>
      </c>
      <c r="BU24" s="19">
        <f t="shared" ref="BU24" si="252">BT24+1</f>
        <v>66</v>
      </c>
      <c r="BV24" s="19">
        <f t="shared" ref="BV24" si="253">BU24+1</f>
        <v>67</v>
      </c>
      <c r="BW24" s="19">
        <f t="shared" ref="BW24" si="254">BV24+1</f>
        <v>68</v>
      </c>
      <c r="BX24" s="19">
        <f t="shared" ref="BX24" si="255">BW24+1</f>
        <v>69</v>
      </c>
      <c r="BY24" s="19">
        <f t="shared" ref="BY24" si="256">BX24+1</f>
        <v>70</v>
      </c>
      <c r="BZ24" s="19">
        <f t="shared" ref="BZ24" si="257">BY24+1</f>
        <v>71</v>
      </c>
      <c r="CA24" s="19">
        <f t="shared" ref="CA24" si="258">BZ24+1</f>
        <v>72</v>
      </c>
      <c r="CC24" s="19">
        <v>73</v>
      </c>
      <c r="CD24" s="19">
        <f t="shared" ref="CD24" si="259">CC24+1</f>
        <v>74</v>
      </c>
      <c r="CE24" s="19">
        <f t="shared" ref="CE24" si="260">CD24+1</f>
        <v>75</v>
      </c>
      <c r="CF24" s="19">
        <f t="shared" ref="CF24" si="261">CE24+1</f>
        <v>76</v>
      </c>
      <c r="CG24" s="19">
        <f t="shared" ref="CG24" si="262">CF24+1</f>
        <v>77</v>
      </c>
      <c r="CH24" s="19">
        <f t="shared" ref="CH24" si="263">CG24+1</f>
        <v>78</v>
      </c>
      <c r="CI24" s="19">
        <f t="shared" ref="CI24" si="264">CH24+1</f>
        <v>79</v>
      </c>
      <c r="CJ24" s="19">
        <f t="shared" ref="CJ24" si="265">CI24+1</f>
        <v>80</v>
      </c>
      <c r="CK24" s="19">
        <f t="shared" ref="CK24" si="266">CJ24+1</f>
        <v>81</v>
      </c>
      <c r="CL24" s="19">
        <f t="shared" ref="CL24" si="267">CK24+1</f>
        <v>82</v>
      </c>
      <c r="CM24" s="19">
        <f t="shared" ref="CM24" si="268">CL24+1</f>
        <v>83</v>
      </c>
      <c r="CN24" s="19">
        <f t="shared" ref="CN24" si="269">CM24+1</f>
        <v>84</v>
      </c>
      <c r="CP24" s="19">
        <v>85</v>
      </c>
      <c r="CQ24" s="19">
        <f t="shared" ref="CQ24" si="270">CP24+1</f>
        <v>86</v>
      </c>
      <c r="CR24" s="19">
        <f t="shared" ref="CR24" si="271">CQ24+1</f>
        <v>87</v>
      </c>
      <c r="CS24" s="19">
        <f t="shared" ref="CS24" si="272">CR24+1</f>
        <v>88</v>
      </c>
      <c r="CT24" s="19">
        <f t="shared" ref="CT24" si="273">CS24+1</f>
        <v>89</v>
      </c>
      <c r="CU24" s="19">
        <f t="shared" ref="CU24" si="274">CT24+1</f>
        <v>90</v>
      </c>
      <c r="CV24" s="19">
        <f t="shared" ref="CV24" si="275">CU24+1</f>
        <v>91</v>
      </c>
      <c r="CW24" s="19">
        <f t="shared" ref="CW24" si="276">CV24+1</f>
        <v>92</v>
      </c>
      <c r="CX24" s="19">
        <f t="shared" ref="CX24" si="277">CW24+1</f>
        <v>93</v>
      </c>
      <c r="CY24" s="19">
        <f t="shared" ref="CY24" si="278">CX24+1</f>
        <v>94</v>
      </c>
      <c r="CZ24" s="19">
        <f t="shared" ref="CZ24" si="279">CY24+1</f>
        <v>95</v>
      </c>
      <c r="DA24" s="19">
        <f t="shared" ref="DA24" si="280">CZ24+1</f>
        <v>96</v>
      </c>
      <c r="DC24" s="19">
        <v>97</v>
      </c>
      <c r="DD24" s="19">
        <f t="shared" ref="DD24" si="281">DC24+1</f>
        <v>98</v>
      </c>
      <c r="DE24" s="19">
        <f t="shared" ref="DE24" si="282">DD24+1</f>
        <v>99</v>
      </c>
      <c r="DF24" s="19">
        <f t="shared" ref="DF24" si="283">DE24+1</f>
        <v>100</v>
      </c>
      <c r="DG24" s="19">
        <f t="shared" ref="DG24" si="284">DF24+1</f>
        <v>101</v>
      </c>
      <c r="DH24" s="19">
        <f t="shared" ref="DH24" si="285">DG24+1</f>
        <v>102</v>
      </c>
      <c r="DI24" s="19">
        <f t="shared" ref="DI24" si="286">DH24+1</f>
        <v>103</v>
      </c>
      <c r="DJ24" s="19">
        <f t="shared" ref="DJ24" si="287">DI24+1</f>
        <v>104</v>
      </c>
      <c r="DK24" s="19">
        <f t="shared" ref="DK24" si="288">DJ24+1</f>
        <v>105</v>
      </c>
      <c r="DL24" s="19">
        <f t="shared" ref="DL24" si="289">DK24+1</f>
        <v>106</v>
      </c>
      <c r="DM24" s="19">
        <f t="shared" ref="DM24" si="290">DL24+1</f>
        <v>107</v>
      </c>
      <c r="DN24" s="19">
        <f t="shared" ref="DN24" si="291">DM24+1</f>
        <v>108</v>
      </c>
    </row>
    <row r="25" spans="1:119" s="24" customFormat="1" ht="16">
      <c r="A25" s="10"/>
      <c r="B25" s="10"/>
      <c r="C25" s="24">
        <v>0</v>
      </c>
      <c r="D25" s="32">
        <f>C26</f>
        <v>0</v>
      </c>
      <c r="E25" s="32">
        <f t="shared" ref="E25:L25" si="292">D26</f>
        <v>0</v>
      </c>
      <c r="F25" s="32">
        <f t="shared" si="292"/>
        <v>0</v>
      </c>
      <c r="G25" s="32">
        <f t="shared" si="292"/>
        <v>0</v>
      </c>
      <c r="H25" s="32">
        <f t="shared" si="292"/>
        <v>0</v>
      </c>
      <c r="I25" s="88">
        <f t="shared" si="292"/>
        <v>-5086.4984666666669</v>
      </c>
      <c r="J25" s="32">
        <f t="shared" si="292"/>
        <v>-10172.996933333334</v>
      </c>
      <c r="K25" s="32">
        <f t="shared" si="292"/>
        <v>-15259.4954</v>
      </c>
      <c r="L25" s="32">
        <f t="shared" si="292"/>
        <v>-20345.993866666668</v>
      </c>
      <c r="M25" s="32">
        <f>L26</f>
        <v>-25432.492333333335</v>
      </c>
      <c r="N25" s="32">
        <f>M26</f>
        <v>-30518.990800000003</v>
      </c>
      <c r="P25" s="32">
        <f>N26</f>
        <v>-35605.489266666671</v>
      </c>
      <c r="Q25" s="32">
        <f>P26</f>
        <v>-35282.820430461674</v>
      </c>
      <c r="R25" s="32">
        <f t="shared" ref="R25:AA25" si="293">Q26</f>
        <v>-34960.151594256677</v>
      </c>
      <c r="S25" s="32">
        <f t="shared" si="293"/>
        <v>-34637.482758051679</v>
      </c>
      <c r="T25" s="32">
        <f t="shared" si="293"/>
        <v>-34314.813921846682</v>
      </c>
      <c r="U25" s="32">
        <f t="shared" si="293"/>
        <v>-33992.145085641685</v>
      </c>
      <c r="V25" s="32">
        <f t="shared" si="293"/>
        <v>-33669.476249436688</v>
      </c>
      <c r="W25" s="32">
        <f t="shared" si="293"/>
        <v>-33346.807413231691</v>
      </c>
      <c r="X25" s="32">
        <f t="shared" si="293"/>
        <v>-33024.138577026693</v>
      </c>
      <c r="Y25" s="32">
        <f t="shared" si="293"/>
        <v>-32701.469740821693</v>
      </c>
      <c r="Z25" s="32">
        <f t="shared" si="293"/>
        <v>-32378.800904616692</v>
      </c>
      <c r="AA25" s="32">
        <f t="shared" si="293"/>
        <v>-32056.132068411691</v>
      </c>
      <c r="AC25" s="32">
        <f>AA26</f>
        <v>-31733.46323220669</v>
      </c>
      <c r="AD25" s="32">
        <f>AC26</f>
        <v>-29645.050541156979</v>
      </c>
      <c r="AE25" s="32">
        <f t="shared" ref="AE25:AM25" si="294">AD26</f>
        <v>-27556.637850107269</v>
      </c>
      <c r="AF25" s="32">
        <f t="shared" si="294"/>
        <v>-25468.225159057558</v>
      </c>
      <c r="AG25" s="32">
        <f t="shared" si="294"/>
        <v>-23379.812468007847</v>
      </c>
      <c r="AH25" s="32">
        <f t="shared" si="294"/>
        <v>-21291.399776958136</v>
      </c>
      <c r="AI25" s="32">
        <f t="shared" si="294"/>
        <v>-19202.987085908426</v>
      </c>
      <c r="AJ25" s="32">
        <f t="shared" si="294"/>
        <v>-17114.574394858715</v>
      </c>
      <c r="AK25" s="32">
        <f t="shared" si="294"/>
        <v>-15026.161703809006</v>
      </c>
      <c r="AL25" s="32">
        <f t="shared" si="294"/>
        <v>-12937.749012759297</v>
      </c>
      <c r="AM25" s="32">
        <f t="shared" si="294"/>
        <v>-10849.336321709588</v>
      </c>
      <c r="AN25" s="32">
        <f>AM26</f>
        <v>-8760.9236306598796</v>
      </c>
      <c r="AP25" s="32">
        <f>AN26</f>
        <v>-6672.5109396101707</v>
      </c>
      <c r="AQ25" s="32">
        <f>AP26</f>
        <v>-3565.3569656267937</v>
      </c>
      <c r="AR25" s="32">
        <f t="shared" ref="AR25:AY25" si="295">AQ26</f>
        <v>-458.20299164341668</v>
      </c>
      <c r="AS25" s="32">
        <f t="shared" si="295"/>
        <v>2648.9509823399603</v>
      </c>
      <c r="AT25" s="32">
        <f t="shared" si="295"/>
        <v>5756.1049563233373</v>
      </c>
      <c r="AU25" s="32">
        <f t="shared" si="295"/>
        <v>8863.2589303067143</v>
      </c>
      <c r="AV25" s="32">
        <f t="shared" si="295"/>
        <v>11970.412904290091</v>
      </c>
      <c r="AW25" s="32">
        <f t="shared" si="295"/>
        <v>15077.566878273468</v>
      </c>
      <c r="AX25" s="32">
        <f t="shared" si="295"/>
        <v>18184.720852256847</v>
      </c>
      <c r="AY25" s="32">
        <f t="shared" si="295"/>
        <v>21291.874826240222</v>
      </c>
      <c r="AZ25" s="32">
        <f>AY26</f>
        <v>24399.028800223598</v>
      </c>
      <c r="BA25" s="32">
        <f>AZ26</f>
        <v>27506.182774206973</v>
      </c>
      <c r="BB25" s="32"/>
      <c r="BC25" s="32">
        <f>BA26</f>
        <v>30613.336748190348</v>
      </c>
      <c r="BD25" s="32">
        <f t="shared" ref="BD25:DM25" si="296">BC26</f>
        <v>35551.584582542971</v>
      </c>
      <c r="BE25" s="32">
        <f t="shared" si="296"/>
        <v>40489.832416895595</v>
      </c>
      <c r="BF25" s="32">
        <f t="shared" si="296"/>
        <v>45428.080251248219</v>
      </c>
      <c r="BG25" s="32">
        <f t="shared" si="296"/>
        <v>50366.328085600842</v>
      </c>
      <c r="BH25" s="32">
        <f t="shared" si="296"/>
        <v>55304.575919953466</v>
      </c>
      <c r="BI25" s="32">
        <f t="shared" si="296"/>
        <v>60242.82375430609</v>
      </c>
      <c r="BJ25" s="32">
        <f t="shared" si="296"/>
        <v>65181.071588658713</v>
      </c>
      <c r="BK25" s="32">
        <f t="shared" si="296"/>
        <v>70119.319423011329</v>
      </c>
      <c r="BL25" s="32">
        <f t="shared" si="296"/>
        <v>75057.56725736396</v>
      </c>
      <c r="BM25" s="32">
        <f t="shared" si="296"/>
        <v>79995.815091716591</v>
      </c>
      <c r="BN25" s="32">
        <f t="shared" si="296"/>
        <v>84934.062926069222</v>
      </c>
      <c r="BO25" s="32"/>
      <c r="BP25" s="32">
        <f>BN26</f>
        <v>89872.310760421853</v>
      </c>
      <c r="BQ25" s="32">
        <f t="shared" si="296"/>
        <v>94161.308197749706</v>
      </c>
      <c r="BR25" s="32">
        <f t="shared" si="296"/>
        <v>98450.305635077559</v>
      </c>
      <c r="BS25" s="32">
        <f t="shared" si="296"/>
        <v>102739.30307240541</v>
      </c>
      <c r="BT25" s="32">
        <f t="shared" si="296"/>
        <v>107028.30050973326</v>
      </c>
      <c r="BU25" s="32">
        <f t="shared" si="296"/>
        <v>111317.29794706112</v>
      </c>
      <c r="BV25" s="32">
        <f t="shared" si="296"/>
        <v>115606.29538438897</v>
      </c>
      <c r="BW25" s="32">
        <f t="shared" si="296"/>
        <v>119895.29282171682</v>
      </c>
      <c r="BX25" s="32">
        <f t="shared" si="296"/>
        <v>124184.29025904468</v>
      </c>
      <c r="BY25" s="32">
        <f t="shared" si="296"/>
        <v>128473.28769637253</v>
      </c>
      <c r="BZ25" s="32">
        <f t="shared" si="296"/>
        <v>132762.28513370038</v>
      </c>
      <c r="CA25" s="32">
        <f t="shared" si="296"/>
        <v>137051.28257102822</v>
      </c>
      <c r="CC25" s="32">
        <f>CA26</f>
        <v>141340.28000835606</v>
      </c>
      <c r="CD25" s="32">
        <f t="shared" si="296"/>
        <v>145787.29578734015</v>
      </c>
      <c r="CE25" s="32">
        <f t="shared" si="296"/>
        <v>150234.31156632424</v>
      </c>
      <c r="CF25" s="32">
        <f t="shared" si="296"/>
        <v>154681.32734530832</v>
      </c>
      <c r="CG25" s="32">
        <f t="shared" si="296"/>
        <v>159128.34312429241</v>
      </c>
      <c r="CH25" s="32">
        <f t="shared" si="296"/>
        <v>163575.3589032765</v>
      </c>
      <c r="CI25" s="32">
        <f t="shared" si="296"/>
        <v>168022.37468226059</v>
      </c>
      <c r="CJ25" s="32">
        <f t="shared" si="296"/>
        <v>172469.39046124468</v>
      </c>
      <c r="CK25" s="32">
        <f t="shared" si="296"/>
        <v>176916.40624022877</v>
      </c>
      <c r="CL25" s="32">
        <f t="shared" si="296"/>
        <v>181363.42201921286</v>
      </c>
      <c r="CM25" s="32">
        <f t="shared" si="296"/>
        <v>185810.43779819694</v>
      </c>
      <c r="CN25" s="32">
        <f t="shared" si="296"/>
        <v>190257.45357718103</v>
      </c>
      <c r="CP25" s="32">
        <f>CN26</f>
        <v>194704.46935616512</v>
      </c>
      <c r="CQ25" s="32">
        <f t="shared" si="296"/>
        <v>199350.20724977914</v>
      </c>
      <c r="CR25" s="32">
        <f t="shared" si="296"/>
        <v>203995.94514339315</v>
      </c>
      <c r="CS25" s="32">
        <f t="shared" si="296"/>
        <v>208641.68303700717</v>
      </c>
      <c r="CT25" s="32">
        <f t="shared" si="296"/>
        <v>213287.42093062119</v>
      </c>
      <c r="CU25" s="32">
        <f t="shared" si="296"/>
        <v>217933.1588242352</v>
      </c>
      <c r="CV25" s="32">
        <f t="shared" si="296"/>
        <v>222578.89671784922</v>
      </c>
      <c r="CW25" s="32">
        <f t="shared" si="296"/>
        <v>227224.63461146323</v>
      </c>
      <c r="CX25" s="32">
        <f t="shared" si="296"/>
        <v>231870.37250507725</v>
      </c>
      <c r="CY25" s="32">
        <f t="shared" si="296"/>
        <v>236516.11039869126</v>
      </c>
      <c r="CZ25" s="32">
        <f t="shared" si="296"/>
        <v>241161.84829230528</v>
      </c>
      <c r="DA25" s="32">
        <f t="shared" si="296"/>
        <v>245807.5861859193</v>
      </c>
      <c r="DC25" s="32">
        <f>DA26</f>
        <v>250453.32407953331</v>
      </c>
      <c r="DD25" s="32">
        <f t="shared" si="296"/>
        <v>255251.41909285495</v>
      </c>
      <c r="DE25" s="32">
        <f t="shared" si="296"/>
        <v>260049.51410617659</v>
      </c>
      <c r="DF25" s="32">
        <f t="shared" si="296"/>
        <v>264847.60911949823</v>
      </c>
      <c r="DG25" s="32">
        <f t="shared" si="296"/>
        <v>269645.70413281984</v>
      </c>
      <c r="DH25" s="32">
        <f t="shared" si="296"/>
        <v>274443.79914614145</v>
      </c>
      <c r="DI25" s="32">
        <f t="shared" si="296"/>
        <v>279241.89415946306</v>
      </c>
      <c r="DJ25" s="32">
        <f t="shared" si="296"/>
        <v>284039.98917278467</v>
      </c>
      <c r="DK25" s="32">
        <f t="shared" si="296"/>
        <v>288838.08418610628</v>
      </c>
      <c r="DL25" s="32">
        <f t="shared" si="296"/>
        <v>293636.17919942789</v>
      </c>
      <c r="DM25" s="32">
        <f t="shared" si="296"/>
        <v>298434.2742127495</v>
      </c>
      <c r="DN25" s="32">
        <f t="shared" ref="DN25" si="297">DM26</f>
        <v>303232.36922607111</v>
      </c>
    </row>
    <row r="26" spans="1:119" s="24" customFormat="1" ht="16">
      <c r="A26" s="389"/>
      <c r="B26" s="10"/>
      <c r="C26" s="32">
        <f>C25+C8+C11</f>
        <v>0</v>
      </c>
      <c r="D26" s="32">
        <f>D25+D8+D11</f>
        <v>0</v>
      </c>
      <c r="E26" s="32">
        <f>E25+E8+E11</f>
        <v>0</v>
      </c>
      <c r="F26" s="32">
        <f>F25+F8</f>
        <v>0</v>
      </c>
      <c r="G26" s="32">
        <f>G25+G8</f>
        <v>0</v>
      </c>
      <c r="H26" s="32">
        <f t="shared" ref="H26:J26" si="298">H25+H8</f>
        <v>-5086.4984666666669</v>
      </c>
      <c r="I26" s="32">
        <f t="shared" si="298"/>
        <v>-10172.996933333334</v>
      </c>
      <c r="J26" s="32">
        <f t="shared" si="298"/>
        <v>-15259.4954</v>
      </c>
      <c r="K26" s="32">
        <f>K25+K8</f>
        <v>-20345.993866666668</v>
      </c>
      <c r="L26" s="32">
        <f>L25+L8</f>
        <v>-25432.492333333335</v>
      </c>
      <c r="M26" s="32">
        <f>M25+M8</f>
        <v>-30518.990800000003</v>
      </c>
      <c r="N26" s="32">
        <f>N25+N8</f>
        <v>-35605.489266666671</v>
      </c>
      <c r="P26" s="32">
        <f>P25+P8</f>
        <v>-35282.820430461674</v>
      </c>
      <c r="Q26" s="32">
        <f>Q25+Q8</f>
        <v>-34960.151594256677</v>
      </c>
      <c r="R26" s="32">
        <f t="shared" ref="R26:Y26" si="299">R25+R8</f>
        <v>-34637.482758051679</v>
      </c>
      <c r="S26" s="32">
        <f t="shared" si="299"/>
        <v>-34314.813921846682</v>
      </c>
      <c r="T26" s="32">
        <f t="shared" si="299"/>
        <v>-33992.145085641685</v>
      </c>
      <c r="U26" s="32">
        <f t="shared" si="299"/>
        <v>-33669.476249436688</v>
      </c>
      <c r="V26" s="32">
        <f t="shared" si="299"/>
        <v>-33346.807413231691</v>
      </c>
      <c r="W26" s="32">
        <f t="shared" si="299"/>
        <v>-33024.138577026693</v>
      </c>
      <c r="X26" s="32">
        <f t="shared" si="299"/>
        <v>-32701.469740821693</v>
      </c>
      <c r="Y26" s="32">
        <f t="shared" si="299"/>
        <v>-32378.800904616692</v>
      </c>
      <c r="Z26" s="32">
        <f>Z25+Z8</f>
        <v>-32056.132068411691</v>
      </c>
      <c r="AA26" s="32">
        <f>AA25+AA8</f>
        <v>-31733.46323220669</v>
      </c>
      <c r="AC26" s="32">
        <f>AC25+AC8</f>
        <v>-29645.050541156979</v>
      </c>
      <c r="AD26" s="32">
        <f>AD25+AD8</f>
        <v>-27556.637850107269</v>
      </c>
      <c r="AE26" s="32">
        <f t="shared" ref="AE26:AN26" si="300">AE25+AE8</f>
        <v>-25468.225159057558</v>
      </c>
      <c r="AF26" s="32">
        <f t="shared" si="300"/>
        <v>-23379.812468007847</v>
      </c>
      <c r="AG26" s="32">
        <f t="shared" si="300"/>
        <v>-21291.399776958136</v>
      </c>
      <c r="AH26" s="32">
        <f t="shared" si="300"/>
        <v>-19202.987085908426</v>
      </c>
      <c r="AI26" s="32">
        <f t="shared" si="300"/>
        <v>-17114.574394858715</v>
      </c>
      <c r="AJ26" s="32">
        <f t="shared" si="300"/>
        <v>-15026.161703809006</v>
      </c>
      <c r="AK26" s="32">
        <f t="shared" si="300"/>
        <v>-12937.749012759297</v>
      </c>
      <c r="AL26" s="32">
        <f t="shared" si="300"/>
        <v>-10849.336321709588</v>
      </c>
      <c r="AM26" s="32">
        <f t="shared" si="300"/>
        <v>-8760.9236306598796</v>
      </c>
      <c r="AN26" s="32">
        <f t="shared" si="300"/>
        <v>-6672.5109396101707</v>
      </c>
      <c r="AO26" s="19"/>
      <c r="AP26" s="32">
        <f>AP25+AP8</f>
        <v>-3565.3569656267937</v>
      </c>
      <c r="AQ26" s="32">
        <f t="shared" ref="AQ26:BA26" si="301">AQ25+AQ8</f>
        <v>-458.20299164341668</v>
      </c>
      <c r="AR26" s="32">
        <f t="shared" si="301"/>
        <v>2648.9509823399603</v>
      </c>
      <c r="AS26" s="32">
        <f t="shared" si="301"/>
        <v>5756.1049563233373</v>
      </c>
      <c r="AT26" s="32">
        <f t="shared" si="301"/>
        <v>8863.2589303067143</v>
      </c>
      <c r="AU26" s="32">
        <f t="shared" si="301"/>
        <v>11970.412904290091</v>
      </c>
      <c r="AV26" s="32">
        <f t="shared" si="301"/>
        <v>15077.566878273468</v>
      </c>
      <c r="AW26" s="32">
        <f t="shared" si="301"/>
        <v>18184.720852256847</v>
      </c>
      <c r="AX26" s="32">
        <f t="shared" si="301"/>
        <v>21291.874826240222</v>
      </c>
      <c r="AY26" s="32">
        <f t="shared" si="301"/>
        <v>24399.028800223598</v>
      </c>
      <c r="AZ26" s="32">
        <f t="shared" si="301"/>
        <v>27506.182774206973</v>
      </c>
      <c r="BA26" s="32">
        <f t="shared" si="301"/>
        <v>30613.336748190348</v>
      </c>
      <c r="BB26" s="32"/>
      <c r="BC26" s="32">
        <f>BC25+BC8</f>
        <v>35551.584582542971</v>
      </c>
      <c r="BD26" s="32">
        <f t="shared" ref="BD26:BM26" si="302">BD25+BD8</f>
        <v>40489.832416895595</v>
      </c>
      <c r="BE26" s="32">
        <f t="shared" si="302"/>
        <v>45428.080251248219</v>
      </c>
      <c r="BF26" s="32">
        <f t="shared" si="302"/>
        <v>50366.328085600842</v>
      </c>
      <c r="BG26" s="32">
        <f t="shared" si="302"/>
        <v>55304.575919953466</v>
      </c>
      <c r="BH26" s="32">
        <f t="shared" si="302"/>
        <v>60242.82375430609</v>
      </c>
      <c r="BI26" s="32">
        <f t="shared" si="302"/>
        <v>65181.071588658713</v>
      </c>
      <c r="BJ26" s="32">
        <f t="shared" si="302"/>
        <v>70119.319423011329</v>
      </c>
      <c r="BK26" s="32">
        <f t="shared" si="302"/>
        <v>75057.56725736396</v>
      </c>
      <c r="BL26" s="32">
        <f t="shared" si="302"/>
        <v>79995.815091716591</v>
      </c>
      <c r="BM26" s="32">
        <f t="shared" si="302"/>
        <v>84934.062926069222</v>
      </c>
      <c r="BN26" s="32">
        <f>BN25+BN8</f>
        <v>89872.310760421853</v>
      </c>
      <c r="BO26" s="32"/>
      <c r="BP26" s="32">
        <f>BP25+BP8</f>
        <v>94161.308197749706</v>
      </c>
      <c r="BQ26" s="32">
        <f t="shared" ref="BQ26:CA26" si="303">BQ25+BQ8</f>
        <v>98450.305635077559</v>
      </c>
      <c r="BR26" s="32">
        <f t="shared" si="303"/>
        <v>102739.30307240541</v>
      </c>
      <c r="BS26" s="32">
        <f t="shared" si="303"/>
        <v>107028.30050973326</v>
      </c>
      <c r="BT26" s="32">
        <f t="shared" si="303"/>
        <v>111317.29794706112</v>
      </c>
      <c r="BU26" s="32">
        <f t="shared" si="303"/>
        <v>115606.29538438897</v>
      </c>
      <c r="BV26" s="32">
        <f t="shared" si="303"/>
        <v>119895.29282171682</v>
      </c>
      <c r="BW26" s="32">
        <f t="shared" si="303"/>
        <v>124184.29025904468</v>
      </c>
      <c r="BX26" s="32">
        <f t="shared" si="303"/>
        <v>128473.28769637253</v>
      </c>
      <c r="BY26" s="32">
        <f t="shared" si="303"/>
        <v>132762.28513370038</v>
      </c>
      <c r="BZ26" s="32">
        <f t="shared" si="303"/>
        <v>137051.28257102822</v>
      </c>
      <c r="CA26" s="32">
        <f t="shared" si="303"/>
        <v>141340.28000835606</v>
      </c>
      <c r="CC26" s="32">
        <f>CC25+CC8</f>
        <v>145787.29578734015</v>
      </c>
      <c r="CD26" s="32">
        <f t="shared" ref="CD26" si="304">CD25+CD8+CD11</f>
        <v>150234.31156632424</v>
      </c>
      <c r="CE26" s="32">
        <f t="shared" ref="CE26" si="305">CE25+CE8+CE11</f>
        <v>154681.32734530832</v>
      </c>
      <c r="CF26" s="32">
        <f t="shared" ref="CF26" si="306">CF25+CF8+CF11</f>
        <v>159128.34312429241</v>
      </c>
      <c r="CG26" s="32">
        <f t="shared" ref="CG26" si="307">CG25+CG8+CG11</f>
        <v>163575.3589032765</v>
      </c>
      <c r="CH26" s="32">
        <f t="shared" ref="CH26" si="308">CH25+CH8+CH11</f>
        <v>168022.37468226059</v>
      </c>
      <c r="CI26" s="32">
        <f t="shared" ref="CI26" si="309">CI25+CI8+CI11</f>
        <v>172469.39046124468</v>
      </c>
      <c r="CJ26" s="32">
        <f t="shared" ref="CJ26" si="310">CJ25+CJ8+CJ11</f>
        <v>176916.40624022877</v>
      </c>
      <c r="CK26" s="32">
        <f t="shared" ref="CK26" si="311">CK25+CK8+CK11</f>
        <v>181363.42201921286</v>
      </c>
      <c r="CL26" s="32">
        <f t="shared" ref="CL26" si="312">CL25+CL8+CL11</f>
        <v>185810.43779819694</v>
      </c>
      <c r="CM26" s="32">
        <f t="shared" ref="CM26" si="313">CM25+CM8+CM11</f>
        <v>190257.45357718103</v>
      </c>
      <c r="CN26" s="32">
        <f t="shared" ref="CN26" si="314">CN25+CN8+CN11</f>
        <v>194704.46935616512</v>
      </c>
      <c r="CP26" s="32">
        <f t="shared" ref="CP26" si="315">CP25+CP8+CP11</f>
        <v>199350.20724977914</v>
      </c>
      <c r="CQ26" s="32">
        <f t="shared" ref="CQ26" si="316">CQ25+CQ8+CQ11</f>
        <v>203995.94514339315</v>
      </c>
      <c r="CR26" s="32">
        <f t="shared" ref="CR26" si="317">CR25+CR8+CR11</f>
        <v>208641.68303700717</v>
      </c>
      <c r="CS26" s="32">
        <f t="shared" ref="CS26" si="318">CS25+CS8+CS11</f>
        <v>213287.42093062119</v>
      </c>
      <c r="CT26" s="32">
        <f t="shared" ref="CT26" si="319">CT25+CT8+CT11</f>
        <v>217933.1588242352</v>
      </c>
      <c r="CU26" s="32">
        <f t="shared" ref="CU26" si="320">CU25+CU8+CU11</f>
        <v>222578.89671784922</v>
      </c>
      <c r="CV26" s="32">
        <f t="shared" ref="CV26" si="321">CV25+CV8+CV11</f>
        <v>227224.63461146323</v>
      </c>
      <c r="CW26" s="32">
        <f t="shared" ref="CW26" si="322">CW25+CW8+CW11</f>
        <v>231870.37250507725</v>
      </c>
      <c r="CX26" s="32">
        <f t="shared" ref="CX26" si="323">CX25+CX8+CX11</f>
        <v>236516.11039869126</v>
      </c>
      <c r="CY26" s="32">
        <f t="shared" ref="CY26" si="324">CY25+CY8+CY11</f>
        <v>241161.84829230528</v>
      </c>
      <c r="CZ26" s="32">
        <f t="shared" ref="CZ26" si="325">CZ25+CZ8+CZ11</f>
        <v>245807.5861859193</v>
      </c>
      <c r="DA26" s="32">
        <f t="shared" ref="DA26" si="326">DA25+DA8+DA11</f>
        <v>250453.32407953331</v>
      </c>
      <c r="DC26" s="32">
        <f t="shared" ref="DC26" si="327">DC25+DC8+DC11</f>
        <v>255251.41909285495</v>
      </c>
      <c r="DD26" s="32">
        <f t="shared" ref="DD26" si="328">DD25+DD8+DD11</f>
        <v>260049.51410617659</v>
      </c>
      <c r="DE26" s="32">
        <f t="shared" ref="DE26" si="329">DE25+DE8+DE11</f>
        <v>264847.60911949823</v>
      </c>
      <c r="DF26" s="32">
        <f t="shared" ref="DF26" si="330">DF25+DF8+DF11</f>
        <v>269645.70413281984</v>
      </c>
      <c r="DG26" s="32">
        <f t="shared" ref="DG26" si="331">DG25+DG8+DG11</f>
        <v>274443.79914614145</v>
      </c>
      <c r="DH26" s="32">
        <f t="shared" ref="DH26" si="332">DH25+DH8+DH11</f>
        <v>279241.89415946306</v>
      </c>
      <c r="DI26" s="32">
        <f t="shared" ref="DI26" si="333">DI25+DI8+DI11</f>
        <v>284039.98917278467</v>
      </c>
      <c r="DJ26" s="32">
        <f t="shared" ref="DJ26" si="334">DJ25+DJ8+DJ11</f>
        <v>288838.08418610628</v>
      </c>
      <c r="DK26" s="32">
        <f t="shared" ref="DK26" si="335">DK25+DK8+DK11</f>
        <v>293636.17919942789</v>
      </c>
      <c r="DL26" s="32">
        <f t="shared" ref="DL26" si="336">DL25+DL8+DL11</f>
        <v>298434.2742127495</v>
      </c>
      <c r="DM26" s="32">
        <f t="shared" ref="DM26" si="337">DM25+DM8+DM11</f>
        <v>303232.36922607111</v>
      </c>
      <c r="DN26" s="32">
        <f t="shared" ref="DN26" si="338">DN25+DN8+DN11</f>
        <v>308030.46423939272</v>
      </c>
    </row>
    <row r="27" spans="1:119" ht="17">
      <c r="A27" s="376" t="s">
        <v>8</v>
      </c>
      <c r="B27" s="382">
        <f>MAX(C27:DO27)</f>
        <v>62</v>
      </c>
      <c r="C27" s="16">
        <f>IF(C26&gt;$O$12,C24,0)</f>
        <v>0</v>
      </c>
      <c r="D27" s="16">
        <f>IF(C27&gt;0,C27,IF(D26&gt;$O$12,D24,0))</f>
        <v>0</v>
      </c>
      <c r="E27" s="16">
        <f t="shared" ref="E27" si="339">IF(D27&gt;0,D27,IF(E26&gt;$O$12,E24,0))</f>
        <v>0</v>
      </c>
      <c r="F27" s="16">
        <f t="shared" ref="F27" si="340">IF(E27&gt;0,E27,IF(F26&gt;$O$12,F24,0))</f>
        <v>0</v>
      </c>
      <c r="G27" s="16">
        <f t="shared" ref="G27" si="341">IF(F27&gt;0,F27,IF(G26&gt;$O$12,G24,0))</f>
        <v>0</v>
      </c>
      <c r="H27" s="16">
        <f t="shared" ref="H27" si="342">IF(G27&gt;0,G27,IF(H26&gt;$O$12,H24,0))</f>
        <v>0</v>
      </c>
      <c r="I27" s="16">
        <f t="shared" ref="I27" si="343">IF(H27&gt;0,H27,IF(I26&gt;$O$12,I24,0))</f>
        <v>0</v>
      </c>
      <c r="J27" s="16">
        <f t="shared" ref="J27" si="344">IF(I27&gt;0,I27,IF(J26&gt;$O$12,J24,0))</f>
        <v>0</v>
      </c>
      <c r="K27" s="16">
        <f t="shared" ref="K27" si="345">IF(J27&gt;0,J27,IF(K26&gt;$O$12,K24,0))</f>
        <v>0</v>
      </c>
      <c r="L27" s="16">
        <f t="shared" ref="L27" si="346">IF(K27&gt;0,K27,IF(L26&gt;$O$12,L24,0))</f>
        <v>0</v>
      </c>
      <c r="M27" s="16">
        <f t="shared" ref="M27" si="347">IF(L27&gt;0,L27,IF(M26&gt;$O$12,M24,0))</f>
        <v>0</v>
      </c>
      <c r="N27" s="16">
        <f t="shared" ref="N27" si="348">IF(M27&gt;0,M27,IF(N26&gt;$O$12,N24,0))</f>
        <v>0</v>
      </c>
      <c r="O27" s="16"/>
      <c r="P27" s="16">
        <f>IF(O27&gt;0,O27,IF(P26&gt;$O$12,P24,0))</f>
        <v>0</v>
      </c>
      <c r="Q27" s="16">
        <f t="shared" ref="Q27" si="349">IF(P27&gt;0,P27,IF(Q26&gt;$O$12,Q24,0))</f>
        <v>0</v>
      </c>
      <c r="R27" s="16">
        <f t="shared" ref="R27" si="350">IF(Q27&gt;0,Q27,IF(R26&gt;$O$12,R24,0))</f>
        <v>0</v>
      </c>
      <c r="S27" s="16">
        <f t="shared" ref="S27" si="351">IF(R27&gt;0,R27,IF(S26&gt;$O$12,S24,0))</f>
        <v>0</v>
      </c>
      <c r="T27" s="16">
        <f t="shared" ref="T27" si="352">IF(S27&gt;0,S27,IF(T26&gt;$O$12,T24,0))</f>
        <v>0</v>
      </c>
      <c r="U27" s="16">
        <f t="shared" ref="U27" si="353">IF(T27&gt;0,T27,IF(U26&gt;$O$12,U24,0))</f>
        <v>0</v>
      </c>
      <c r="V27" s="16">
        <f t="shared" ref="V27" si="354">IF(U27&gt;0,U27,IF(V26&gt;$O$12,V24,0))</f>
        <v>0</v>
      </c>
      <c r="W27" s="16">
        <f t="shared" ref="W27" si="355">IF(V27&gt;0,V27,IF(W26&gt;$O$12,W24,0))</f>
        <v>0</v>
      </c>
      <c r="X27" s="16">
        <f t="shared" ref="X27" si="356">IF(W27&gt;0,W27,IF(X26&gt;$O$12,X24,0))</f>
        <v>0</v>
      </c>
      <c r="Y27" s="16">
        <f t="shared" ref="Y27" si="357">IF(X27&gt;0,X27,IF(Y26&gt;$O$12,Y24,0))</f>
        <v>0</v>
      </c>
      <c r="Z27" s="16">
        <f>IF(Y27&gt;0,Y27,IF(Z26&gt;$O$12,Z24,0))</f>
        <v>0</v>
      </c>
      <c r="AA27" s="16">
        <f t="shared" ref="AA27" si="358">IF(Z27&gt;0,Z27,IF(AA26&gt;$O$12,AA24,0))</f>
        <v>0</v>
      </c>
      <c r="AB27" s="16"/>
      <c r="AC27" s="16">
        <f>IF(AB27&gt;0,AB27,IF(AC26&gt;$O$12,AC24,0))</f>
        <v>0</v>
      </c>
      <c r="AD27" s="16">
        <f t="shared" ref="AD27:AN27" si="359">IF(AC27&gt;0,AC27,IF(AD26&gt;$O$12,AD24,0))</f>
        <v>0</v>
      </c>
      <c r="AE27" s="16">
        <f t="shared" si="359"/>
        <v>0</v>
      </c>
      <c r="AF27" s="16">
        <f t="shared" si="359"/>
        <v>0</v>
      </c>
      <c r="AG27" s="16">
        <f t="shared" si="359"/>
        <v>0</v>
      </c>
      <c r="AH27" s="16">
        <f t="shared" si="359"/>
        <v>0</v>
      </c>
      <c r="AI27" s="16">
        <f t="shared" si="359"/>
        <v>0</v>
      </c>
      <c r="AJ27" s="16">
        <f t="shared" si="359"/>
        <v>0</v>
      </c>
      <c r="AK27" s="16">
        <f t="shared" si="359"/>
        <v>0</v>
      </c>
      <c r="AL27" s="16">
        <f t="shared" si="359"/>
        <v>0</v>
      </c>
      <c r="AM27" s="16">
        <f t="shared" si="359"/>
        <v>0</v>
      </c>
      <c r="AN27" s="16">
        <f t="shared" si="359"/>
        <v>0</v>
      </c>
      <c r="AP27" s="16">
        <f>IF(AN27&gt;0,AN27,IF(AP26&gt;$O$12,AP24,0))</f>
        <v>0</v>
      </c>
      <c r="AQ27" s="16">
        <f>IF(AP27&gt;0,AP27,IF(AQ26&gt;$O$12,AQ24,0))</f>
        <v>0</v>
      </c>
      <c r="AR27" s="16">
        <f t="shared" ref="AR27" si="360">IF(AQ27&gt;0,AQ27,IF(AR26&gt;$O$12,AR24,0))</f>
        <v>0</v>
      </c>
      <c r="AS27" s="16">
        <f t="shared" ref="AS27" si="361">IF(AR27&gt;0,AR27,IF(AS26&gt;$O$12,AS24,0))</f>
        <v>0</v>
      </c>
      <c r="AT27" s="16">
        <f t="shared" ref="AT27" si="362">IF(AS27&gt;0,AS27,IF(AT26&gt;$O$12,AT24,0))</f>
        <v>0</v>
      </c>
      <c r="AU27" s="16">
        <f t="shared" ref="AU27" si="363">IF(AT27&gt;0,AT27,IF(AU26&gt;$O$12,AU24,0))</f>
        <v>0</v>
      </c>
      <c r="AV27" s="16">
        <f t="shared" ref="AV27" si="364">IF(AU27&gt;0,AU27,IF(AV26&gt;$O$12,AV24,0))</f>
        <v>0</v>
      </c>
      <c r="AW27" s="16">
        <f t="shared" ref="AW27" si="365">IF(AV27&gt;0,AV27,IF(AW26&gt;$O$12,AW24,0))</f>
        <v>0</v>
      </c>
      <c r="AX27" s="16">
        <f t="shared" ref="AX27" si="366">IF(AW27&gt;0,AW27,IF(AX26&gt;$O$12,AX24,0))</f>
        <v>0</v>
      </c>
      <c r="AY27" s="16">
        <f t="shared" ref="AY27" si="367">IF(AX27&gt;0,AX27,IF(AY26&gt;$O$12,AY24,0))</f>
        <v>0</v>
      </c>
      <c r="AZ27" s="16">
        <f t="shared" ref="AZ27" si="368">IF(AY27&gt;0,AY27,IF(AZ26&gt;$O$12,AZ24,0))</f>
        <v>0</v>
      </c>
      <c r="BA27" s="16">
        <f t="shared" ref="BA27" si="369">IF(AZ27&gt;0,AZ27,IF(BA26&gt;$O$12,BA24,0))</f>
        <v>0</v>
      </c>
      <c r="BB27" s="16"/>
      <c r="BC27" s="16">
        <f>IF(BA27&gt;0,BA27,IF(BC26&gt;$O$12,BC24,0))</f>
        <v>0</v>
      </c>
      <c r="BD27" s="16">
        <f>IF(BC27&gt;0,BC27,IF(BD26&gt;$O$12,BD24,0))</f>
        <v>0</v>
      </c>
      <c r="BE27" s="16">
        <f t="shared" ref="BE27" si="370">IF(BD27&gt;0,BD27,IF(BE26&gt;$O$12,BE24,0))</f>
        <v>0</v>
      </c>
      <c r="BF27" s="16">
        <f t="shared" ref="BF27" si="371">IF(BE27&gt;0,BE27,IF(BF26&gt;$O$12,BF24,0))</f>
        <v>0</v>
      </c>
      <c r="BG27" s="16">
        <f t="shared" ref="BG27" si="372">IF(BF27&gt;0,BF27,IF(BG26&gt;$O$12,BG24,0))</f>
        <v>0</v>
      </c>
      <c r="BH27" s="16">
        <f t="shared" ref="BH27" si="373">IF(BG27&gt;0,BG27,IF(BH26&gt;$O$12,BH24,0))</f>
        <v>0</v>
      </c>
      <c r="BI27" s="16">
        <f t="shared" ref="BI27" si="374">IF(BH27&gt;0,BH27,IF(BI26&gt;$O$12,BI24,0))</f>
        <v>0</v>
      </c>
      <c r="BJ27" s="16">
        <f t="shared" ref="BJ27" si="375">IF(BI27&gt;0,BI27,IF(BJ26&gt;$O$12,BJ24,0))</f>
        <v>0</v>
      </c>
      <c r="BK27" s="16">
        <f t="shared" ref="BK27" si="376">IF(BJ27&gt;0,BJ27,IF(BK26&gt;$O$12,BK24,0))</f>
        <v>0</v>
      </c>
      <c r="BL27" s="16">
        <f t="shared" ref="BL27" si="377">IF(BK27&gt;0,BK27,IF(BL26&gt;$O$12,BL24,0))</f>
        <v>0</v>
      </c>
      <c r="BM27" s="16">
        <f t="shared" ref="BM27" si="378">IF(BL27&gt;0,BL27,IF(BM26&gt;$O$12,BM24,0))</f>
        <v>0</v>
      </c>
      <c r="BN27" s="16">
        <f t="shared" ref="BN27" si="379">IF(BM27&gt;0,BM27,IF(BN26&gt;$O$12,BN24,0))</f>
        <v>0</v>
      </c>
      <c r="BO27" s="16"/>
      <c r="BP27" s="16">
        <f>IF(BN27&gt;0,BN27,IF(BP26&gt;$O$12,BP24,0))</f>
        <v>0</v>
      </c>
      <c r="BQ27" s="16">
        <f>IF(BP27&gt;0,BP27,IF(BQ26&gt;$O$12,BQ24,0))</f>
        <v>62</v>
      </c>
      <c r="BR27" s="16">
        <f t="shared" ref="BR27" si="380">IF(BQ27&gt;0,BQ27,IF(BR26&gt;$O$12,BR24,0))</f>
        <v>62</v>
      </c>
      <c r="BS27" s="16">
        <f t="shared" ref="BS27" si="381">IF(BR27&gt;0,BR27,IF(BS26&gt;$O$12,BS24,0))</f>
        <v>62</v>
      </c>
      <c r="BT27" s="16">
        <f t="shared" ref="BT27" si="382">IF(BS27&gt;0,BS27,IF(BT26&gt;$O$12,BT24,0))</f>
        <v>62</v>
      </c>
      <c r="BU27" s="16">
        <f t="shared" ref="BU27" si="383">IF(BT27&gt;0,BT27,IF(BU26&gt;$O$12,BU24,0))</f>
        <v>62</v>
      </c>
      <c r="BV27" s="16">
        <f t="shared" ref="BV27" si="384">IF(BU27&gt;0,BU27,IF(BV26&gt;$O$12,BV24,0))</f>
        <v>62</v>
      </c>
      <c r="BW27" s="16">
        <f t="shared" ref="BW27" si="385">IF(BV27&gt;0,BV27,IF(BW26&gt;$O$12,BW24,0))</f>
        <v>62</v>
      </c>
      <c r="BX27" s="16">
        <f t="shared" ref="BX27" si="386">IF(BW27&gt;0,BW27,IF(BX26&gt;$O$12,BX24,0))</f>
        <v>62</v>
      </c>
      <c r="BY27" s="16">
        <f t="shared" ref="BY27" si="387">IF(BX27&gt;0,BX27,IF(BY26&gt;$O$12,BY24,0))</f>
        <v>62</v>
      </c>
      <c r="BZ27" s="16">
        <f t="shared" ref="BZ27" si="388">IF(BY27&gt;0,BY27,IF(BZ26&gt;$O$12,BZ24,0))</f>
        <v>62</v>
      </c>
      <c r="CA27" s="16">
        <f t="shared" ref="CA27" si="389">IF(BZ27&gt;0,BZ27,IF(CA26&gt;$O$12,CA24,0))</f>
        <v>62</v>
      </c>
      <c r="CC27" s="16">
        <f>IF(CA27&gt;0,CA27,IF(CC26&gt;$O$12,CC24,0))</f>
        <v>62</v>
      </c>
      <c r="CD27" s="16">
        <f>IF(CC27&gt;0,CC27,IF(CD26&gt;$O$12,CD24,0))</f>
        <v>62</v>
      </c>
      <c r="CE27" s="16">
        <f t="shared" ref="CE27" si="390">IF(CD27&gt;0,CD27,IF(CE26&gt;$O$12,CE24,0))</f>
        <v>62</v>
      </c>
      <c r="CF27" s="16">
        <f t="shared" ref="CF27" si="391">IF(CE27&gt;0,CE27,IF(CF26&gt;$O$12,CF24,0))</f>
        <v>62</v>
      </c>
      <c r="CG27" s="16">
        <f t="shared" ref="CG27" si="392">IF(CF27&gt;0,CF27,IF(CG26&gt;$O$12,CG24,0))</f>
        <v>62</v>
      </c>
      <c r="CH27" s="16">
        <f t="shared" ref="CH27" si="393">IF(CG27&gt;0,CG27,IF(CH26&gt;$O$12,CH24,0))</f>
        <v>62</v>
      </c>
      <c r="CI27" s="16">
        <f t="shared" ref="CI27" si="394">IF(CH27&gt;0,CH27,IF(CI26&gt;$O$12,CI24,0))</f>
        <v>62</v>
      </c>
      <c r="CJ27" s="16">
        <f t="shared" ref="CJ27" si="395">IF(CI27&gt;0,CI27,IF(CJ26&gt;$O$12,CJ24,0))</f>
        <v>62</v>
      </c>
      <c r="CK27" s="16">
        <f t="shared" ref="CK27" si="396">IF(CJ27&gt;0,CJ27,IF(CK26&gt;$O$12,CK24,0))</f>
        <v>62</v>
      </c>
      <c r="CL27" s="16">
        <f t="shared" ref="CL27" si="397">IF(CK27&gt;0,CK27,IF(CL26&gt;$O$12,CL24,0))</f>
        <v>62</v>
      </c>
      <c r="CM27" s="16">
        <f t="shared" ref="CM27" si="398">IF(CL27&gt;0,CL27,IF(CM26&gt;$O$12,CM24,0))</f>
        <v>62</v>
      </c>
      <c r="CN27" s="16">
        <f t="shared" ref="CN27" si="399">IF(CM27&gt;0,CM27,IF(CN26&gt;$O$12,CN24,0))</f>
        <v>62</v>
      </c>
      <c r="CP27" s="16">
        <f>IF(CN27&gt;0,CN27,IF(CP26&gt;$O$12,CP24,0))</f>
        <v>62</v>
      </c>
      <c r="CQ27" s="16">
        <f>IF(CP27&gt;0,CP27,IF(CQ26&gt;$O$12,CQ24,0))</f>
        <v>62</v>
      </c>
      <c r="CR27" s="16">
        <f t="shared" ref="CR27" si="400">IF(CQ27&gt;0,CQ27,IF(CR26&gt;$O$12,CR24,0))</f>
        <v>62</v>
      </c>
      <c r="CS27" s="16">
        <f t="shared" ref="CS27" si="401">IF(CR27&gt;0,CR27,IF(CS26&gt;$O$12,CS24,0))</f>
        <v>62</v>
      </c>
      <c r="CT27" s="16">
        <f t="shared" ref="CT27" si="402">IF(CS27&gt;0,CS27,IF(CT26&gt;$O$12,CT24,0))</f>
        <v>62</v>
      </c>
      <c r="CU27" s="16">
        <f t="shared" ref="CU27" si="403">IF(CT27&gt;0,CT27,IF(CU26&gt;$O$12,CU24,0))</f>
        <v>62</v>
      </c>
      <c r="CV27" s="16">
        <f t="shared" ref="CV27" si="404">IF(CU27&gt;0,CU27,IF(CV26&gt;$O$12,CV24,0))</f>
        <v>62</v>
      </c>
      <c r="CW27" s="16">
        <f t="shared" ref="CW27" si="405">IF(CV27&gt;0,CV27,IF(CW26&gt;$O$12,CW24,0))</f>
        <v>62</v>
      </c>
      <c r="CX27" s="16">
        <f t="shared" ref="CX27" si="406">IF(CW27&gt;0,CW27,IF(CX26&gt;$O$12,CX24,0))</f>
        <v>62</v>
      </c>
      <c r="CY27" s="16">
        <f t="shared" ref="CY27" si="407">IF(CX27&gt;0,CX27,IF(CY26&gt;$O$12,CY24,0))</f>
        <v>62</v>
      </c>
      <c r="CZ27" s="16">
        <f t="shared" ref="CZ27" si="408">IF(CY27&gt;0,CY27,IF(CZ26&gt;$O$12,CZ24,0))</f>
        <v>62</v>
      </c>
      <c r="DA27" s="16">
        <f t="shared" ref="DA27" si="409">IF(CZ27&gt;0,CZ27,IF(DA26&gt;$O$12,DA24,0))</f>
        <v>62</v>
      </c>
      <c r="DC27" s="16">
        <f>IF(DA27&gt;0,DA27,IF(DC26&gt;$O$12,DC24,0))</f>
        <v>62</v>
      </c>
      <c r="DD27" s="16">
        <f>IF(DC27&gt;0,DC27,IF(DD26&gt;$O$12,DD24,0))</f>
        <v>62</v>
      </c>
      <c r="DE27" s="16">
        <f t="shared" ref="DE27" si="410">IF(DD27&gt;0,DD27,IF(DE26&gt;$O$12,DE24,0))</f>
        <v>62</v>
      </c>
      <c r="DF27" s="16">
        <f t="shared" ref="DF27" si="411">IF(DE27&gt;0,DE27,IF(DF26&gt;$O$12,DF24,0))</f>
        <v>62</v>
      </c>
      <c r="DG27" s="16">
        <f t="shared" ref="DG27" si="412">IF(DF27&gt;0,DF27,IF(DG26&gt;$O$12,DG24,0))</f>
        <v>62</v>
      </c>
      <c r="DH27" s="16">
        <f t="shared" ref="DH27" si="413">IF(DG27&gt;0,DG27,IF(DH26&gt;$O$12,DH24,0))</f>
        <v>62</v>
      </c>
      <c r="DI27" s="16">
        <f t="shared" ref="DI27" si="414">IF(DH27&gt;0,DH27,IF(DI26&gt;$O$12,DI24,0))</f>
        <v>62</v>
      </c>
      <c r="DJ27" s="16">
        <f t="shared" ref="DJ27" si="415">IF(DI27&gt;0,DI27,IF(DJ26&gt;$O$12,DJ24,0))</f>
        <v>62</v>
      </c>
      <c r="DK27" s="16">
        <f t="shared" ref="DK27" si="416">IF(DJ27&gt;0,DJ27,IF(DK26&gt;$O$12,DK24,0))</f>
        <v>62</v>
      </c>
      <c r="DL27" s="16">
        <f t="shared" ref="DL27" si="417">IF(DK27&gt;0,DK27,IF(DL26&gt;$O$12,DL24,0))</f>
        <v>62</v>
      </c>
      <c r="DM27" s="16">
        <f t="shared" ref="DM27" si="418">IF(DL27&gt;0,DL27,IF(DM26&gt;$O$12,DM24,0))</f>
        <v>62</v>
      </c>
      <c r="DN27" s="16">
        <f t="shared" ref="DN27" si="419">IF(DM27&gt;0,DM27,IF(DN26&gt;$O$12,DN24,0))</f>
        <v>62</v>
      </c>
    </row>
    <row r="28" spans="1:119" s="24" customFormat="1" ht="17">
      <c r="A28" s="376" t="s">
        <v>58</v>
      </c>
      <c r="B28" s="382">
        <f>B31/12</f>
        <v>1.0833333333333334E-2</v>
      </c>
      <c r="C28" s="24">
        <f>C24/12</f>
        <v>8.3333333333333329E-2</v>
      </c>
      <c r="D28" s="24">
        <f>D24/12</f>
        <v>0.16666666666666666</v>
      </c>
      <c r="E28" s="24">
        <f>E24/12</f>
        <v>0.25</v>
      </c>
      <c r="F28" s="24">
        <f t="shared" ref="F28" si="420">F24/12</f>
        <v>0.33333333333333331</v>
      </c>
      <c r="G28" s="24">
        <f>G24/12</f>
        <v>0.41666666666666669</v>
      </c>
      <c r="H28" s="24">
        <f t="shared" ref="H28:J28" si="421">H24/12</f>
        <v>0.5</v>
      </c>
      <c r="I28" s="19">
        <f t="shared" si="421"/>
        <v>0.58333333333333337</v>
      </c>
      <c r="J28" s="24">
        <f t="shared" si="421"/>
        <v>0.66666666666666663</v>
      </c>
      <c r="K28" s="24">
        <f>K24/12</f>
        <v>0.75</v>
      </c>
      <c r="L28" s="24">
        <f t="shared" ref="L28:BA28" si="422">L24/12</f>
        <v>0.83333333333333337</v>
      </c>
      <c r="M28" s="24">
        <f t="shared" si="422"/>
        <v>0.91666666666666663</v>
      </c>
      <c r="N28" s="24">
        <f t="shared" si="422"/>
        <v>1</v>
      </c>
      <c r="P28" s="24">
        <f>P24/12</f>
        <v>1.0833333333333333</v>
      </c>
      <c r="Q28" s="24">
        <f t="shared" si="422"/>
        <v>1.1666666666666667</v>
      </c>
      <c r="R28" s="24">
        <f t="shared" si="422"/>
        <v>1.25</v>
      </c>
      <c r="S28" s="24">
        <f t="shared" si="422"/>
        <v>1.3333333333333333</v>
      </c>
      <c r="T28" s="24">
        <f t="shared" si="422"/>
        <v>1.4166666666666667</v>
      </c>
      <c r="U28" s="24">
        <f t="shared" si="422"/>
        <v>1.5</v>
      </c>
      <c r="V28" s="24">
        <f t="shared" si="422"/>
        <v>1.5833333333333333</v>
      </c>
      <c r="W28" s="24">
        <f t="shared" si="422"/>
        <v>1.6666666666666667</v>
      </c>
      <c r="X28" s="24">
        <f t="shared" si="422"/>
        <v>1.75</v>
      </c>
      <c r="Y28" s="24">
        <f t="shared" si="422"/>
        <v>1.8333333333333333</v>
      </c>
      <c r="Z28" s="24">
        <f t="shared" si="422"/>
        <v>1.9166666666666667</v>
      </c>
      <c r="AA28" s="24">
        <f t="shared" si="422"/>
        <v>2</v>
      </c>
      <c r="AB28" s="24">
        <f t="shared" si="422"/>
        <v>0</v>
      </c>
      <c r="AC28" s="24">
        <f t="shared" si="422"/>
        <v>2.0833333333333335</v>
      </c>
      <c r="AD28" s="24">
        <f t="shared" si="422"/>
        <v>2.1666666666666665</v>
      </c>
      <c r="AE28" s="24">
        <f t="shared" si="422"/>
        <v>2.25</v>
      </c>
      <c r="AF28" s="24">
        <f t="shared" si="422"/>
        <v>2.3333333333333335</v>
      </c>
      <c r="AG28" s="24">
        <f t="shared" si="422"/>
        <v>2.4166666666666665</v>
      </c>
      <c r="AH28" s="24">
        <f t="shared" si="422"/>
        <v>2.5</v>
      </c>
      <c r="AI28" s="24">
        <f t="shared" si="422"/>
        <v>2.5833333333333335</v>
      </c>
      <c r="AJ28" s="24">
        <f t="shared" si="422"/>
        <v>2.6666666666666665</v>
      </c>
      <c r="AK28" s="24">
        <f t="shared" si="422"/>
        <v>2.75</v>
      </c>
      <c r="AL28" s="24">
        <f t="shared" si="422"/>
        <v>2.8333333333333335</v>
      </c>
      <c r="AM28" s="24">
        <f t="shared" si="422"/>
        <v>2.9166666666666665</v>
      </c>
      <c r="AN28" s="24">
        <f t="shared" si="422"/>
        <v>3</v>
      </c>
      <c r="AO28" s="24">
        <f t="shared" si="422"/>
        <v>0</v>
      </c>
      <c r="AP28" s="24">
        <f t="shared" si="422"/>
        <v>3.0833333333333335</v>
      </c>
      <c r="AQ28" s="24">
        <f t="shared" si="422"/>
        <v>3.1666666666666665</v>
      </c>
      <c r="AR28" s="24">
        <f t="shared" si="422"/>
        <v>3.25</v>
      </c>
      <c r="AS28" s="24">
        <f t="shared" si="422"/>
        <v>3.3333333333333335</v>
      </c>
      <c r="AT28" s="24">
        <f t="shared" si="422"/>
        <v>3.4166666666666665</v>
      </c>
      <c r="AU28" s="24">
        <f t="shared" si="422"/>
        <v>3.5</v>
      </c>
      <c r="AV28" s="24">
        <f t="shared" si="422"/>
        <v>3.5833333333333335</v>
      </c>
      <c r="AW28" s="24">
        <f t="shared" si="422"/>
        <v>3.6666666666666665</v>
      </c>
      <c r="AX28" s="24">
        <f t="shared" si="422"/>
        <v>3.75</v>
      </c>
      <c r="AY28" s="24">
        <f t="shared" si="422"/>
        <v>3.8333333333333335</v>
      </c>
      <c r="AZ28" s="24">
        <f t="shared" si="422"/>
        <v>3.9166666666666665</v>
      </c>
      <c r="BA28" s="24">
        <f t="shared" si="422"/>
        <v>4</v>
      </c>
      <c r="BC28" s="24">
        <f t="shared" ref="BC28:BN28" si="423">BC24/12</f>
        <v>4.083333333333333</v>
      </c>
      <c r="BD28" s="24">
        <f t="shared" si="423"/>
        <v>4.166666666666667</v>
      </c>
      <c r="BE28" s="24">
        <f t="shared" si="423"/>
        <v>4.25</v>
      </c>
      <c r="BF28" s="24">
        <f t="shared" si="423"/>
        <v>4.333333333333333</v>
      </c>
      <c r="BG28" s="24">
        <f t="shared" si="423"/>
        <v>4.416666666666667</v>
      </c>
      <c r="BH28" s="24">
        <f t="shared" si="423"/>
        <v>4.5</v>
      </c>
      <c r="BI28" s="24">
        <f t="shared" si="423"/>
        <v>4.583333333333333</v>
      </c>
      <c r="BJ28" s="24">
        <f t="shared" si="423"/>
        <v>4.666666666666667</v>
      </c>
      <c r="BK28" s="24">
        <f t="shared" si="423"/>
        <v>4.75</v>
      </c>
      <c r="BL28" s="24">
        <f t="shared" si="423"/>
        <v>4.833333333333333</v>
      </c>
      <c r="BM28" s="24">
        <f t="shared" si="423"/>
        <v>4.916666666666667</v>
      </c>
      <c r="BN28" s="24">
        <f t="shared" si="423"/>
        <v>5</v>
      </c>
      <c r="BP28" s="24">
        <f t="shared" ref="BP28:CA28" si="424">BP24/12</f>
        <v>5.083333333333333</v>
      </c>
      <c r="BQ28" s="24">
        <f t="shared" si="424"/>
        <v>5.166666666666667</v>
      </c>
      <c r="BR28" s="24">
        <f t="shared" si="424"/>
        <v>5.25</v>
      </c>
      <c r="BS28" s="24">
        <f t="shared" si="424"/>
        <v>5.333333333333333</v>
      </c>
      <c r="BT28" s="24">
        <f t="shared" si="424"/>
        <v>5.416666666666667</v>
      </c>
      <c r="BU28" s="24">
        <f t="shared" si="424"/>
        <v>5.5</v>
      </c>
      <c r="BV28" s="24">
        <f t="shared" si="424"/>
        <v>5.583333333333333</v>
      </c>
      <c r="BW28" s="24">
        <f t="shared" si="424"/>
        <v>5.666666666666667</v>
      </c>
      <c r="BX28" s="24">
        <f t="shared" si="424"/>
        <v>5.75</v>
      </c>
      <c r="BY28" s="24">
        <f t="shared" si="424"/>
        <v>5.833333333333333</v>
      </c>
      <c r="BZ28" s="24">
        <f t="shared" si="424"/>
        <v>5.916666666666667</v>
      </c>
      <c r="CA28" s="24">
        <f t="shared" si="424"/>
        <v>6</v>
      </c>
      <c r="CC28" s="24">
        <f t="shared" ref="CC28:CN28" si="425">CC24/12</f>
        <v>6.083333333333333</v>
      </c>
      <c r="CD28" s="24">
        <f t="shared" si="425"/>
        <v>6.166666666666667</v>
      </c>
      <c r="CE28" s="24">
        <f t="shared" si="425"/>
        <v>6.25</v>
      </c>
      <c r="CF28" s="24">
        <f t="shared" si="425"/>
        <v>6.333333333333333</v>
      </c>
      <c r="CG28" s="24">
        <f t="shared" si="425"/>
        <v>6.416666666666667</v>
      </c>
      <c r="CH28" s="24">
        <f t="shared" si="425"/>
        <v>6.5</v>
      </c>
      <c r="CI28" s="24">
        <f t="shared" si="425"/>
        <v>6.583333333333333</v>
      </c>
      <c r="CJ28" s="24">
        <f t="shared" si="425"/>
        <v>6.666666666666667</v>
      </c>
      <c r="CK28" s="24">
        <f t="shared" si="425"/>
        <v>6.75</v>
      </c>
      <c r="CL28" s="24">
        <f t="shared" si="425"/>
        <v>6.833333333333333</v>
      </c>
      <c r="CM28" s="24">
        <f t="shared" si="425"/>
        <v>6.916666666666667</v>
      </c>
      <c r="CN28" s="24">
        <f t="shared" si="425"/>
        <v>7</v>
      </c>
      <c r="CP28" s="24">
        <f t="shared" ref="CP28:DA28" si="426">CP24/12</f>
        <v>7.083333333333333</v>
      </c>
      <c r="CQ28" s="24">
        <f t="shared" si="426"/>
        <v>7.166666666666667</v>
      </c>
      <c r="CR28" s="24">
        <f t="shared" si="426"/>
        <v>7.25</v>
      </c>
      <c r="CS28" s="24">
        <f t="shared" si="426"/>
        <v>7.333333333333333</v>
      </c>
      <c r="CT28" s="24">
        <f t="shared" si="426"/>
        <v>7.416666666666667</v>
      </c>
      <c r="CU28" s="24">
        <f t="shared" si="426"/>
        <v>7.5</v>
      </c>
      <c r="CV28" s="24">
        <f t="shared" si="426"/>
        <v>7.583333333333333</v>
      </c>
      <c r="CW28" s="24">
        <f t="shared" si="426"/>
        <v>7.666666666666667</v>
      </c>
      <c r="CX28" s="24">
        <f t="shared" si="426"/>
        <v>7.75</v>
      </c>
      <c r="CY28" s="24">
        <f t="shared" si="426"/>
        <v>7.833333333333333</v>
      </c>
      <c r="CZ28" s="24">
        <f t="shared" si="426"/>
        <v>7.916666666666667</v>
      </c>
      <c r="DA28" s="24">
        <f t="shared" si="426"/>
        <v>8</v>
      </c>
      <c r="DC28" s="24">
        <f t="shared" ref="DC28:DN28" si="427">DC24/12</f>
        <v>8.0833333333333339</v>
      </c>
      <c r="DD28" s="24">
        <f t="shared" si="427"/>
        <v>8.1666666666666661</v>
      </c>
      <c r="DE28" s="24">
        <f t="shared" si="427"/>
        <v>8.25</v>
      </c>
      <c r="DF28" s="24">
        <f t="shared" si="427"/>
        <v>8.3333333333333339</v>
      </c>
      <c r="DG28" s="24">
        <f t="shared" si="427"/>
        <v>8.4166666666666661</v>
      </c>
      <c r="DH28" s="24">
        <f t="shared" si="427"/>
        <v>8.5</v>
      </c>
      <c r="DI28" s="24">
        <f t="shared" si="427"/>
        <v>8.5833333333333339</v>
      </c>
      <c r="DJ28" s="24">
        <f t="shared" si="427"/>
        <v>8.6666666666666661</v>
      </c>
      <c r="DK28" s="24">
        <f t="shared" si="427"/>
        <v>8.75</v>
      </c>
      <c r="DL28" s="24">
        <f t="shared" si="427"/>
        <v>8.8333333333333339</v>
      </c>
      <c r="DM28" s="24">
        <f t="shared" si="427"/>
        <v>8.9166666666666661</v>
      </c>
      <c r="DN28" s="24">
        <f t="shared" si="427"/>
        <v>9</v>
      </c>
    </row>
    <row r="29" spans="1:119" s="23" customFormat="1" ht="17">
      <c r="A29" s="377" t="s">
        <v>48</v>
      </c>
      <c r="B29" s="383">
        <f>-Исходные!B158-Исходные!B159</f>
        <v>-98000</v>
      </c>
      <c r="C29" s="23">
        <f>C23/(1+B28*$C$24)^C28</f>
        <v>0</v>
      </c>
      <c r="D29" s="23">
        <f>(C23+D23)/(1+B28*$D$24)^D28</f>
        <v>0</v>
      </c>
      <c r="E29" s="23">
        <f>(D23+E23+C23)/(1+$B$28*$E$24)^E28</f>
        <v>0</v>
      </c>
      <c r="F29" s="23">
        <f>(E23+F23+D23)/(1+$B$28*$F$24)^F28</f>
        <v>0</v>
      </c>
      <c r="G29" s="23">
        <f>(F23+G23+E23+D23+C23)/(1+$B$28*$G$24)^G28</f>
        <v>0</v>
      </c>
      <c r="H29" s="23">
        <f>(G23+H23+F23+E23+D23+C23)/(1+$B$28*$H$24)^H28</f>
        <v>-4928.8331191885281</v>
      </c>
      <c r="I29" s="31">
        <f>(G23+H23+F23+E23+D23+C23+I23)/(1+$B$28*$I$24)^I28</f>
        <v>-9748.3474327672338</v>
      </c>
      <c r="J29" s="23">
        <f>(C23+H23+I23+G23+F23+E23+D23+J23)/(1+$B$28*$J$24)^J28</f>
        <v>-14436.966289839162</v>
      </c>
      <c r="K29" s="23">
        <f>(C23+D23+I23+J23+H23+G23+F23+E23+K23)/(1+$B$28*$K$24)^K28</f>
        <v>-18974.725968119241</v>
      </c>
      <c r="L29" s="23">
        <f>(C23+D23+E23+J23+K23+I23+H23+G23+F23+L23)/(1+$B$28*$L$24)^L28</f>
        <v>-23343.372115242513</v>
      </c>
      <c r="M29" s="23">
        <f>(C23+D23+E23+F23+G23+H23+I23+J23+K23+L23+M23)/(1+$B$28*$M$24)^M28</f>
        <v>-27526.434798236562</v>
      </c>
      <c r="N29" s="23">
        <f>(C23+D23+E23+F23+G23+H23+I23+J23+K23+L23+M23+N23)/(1+$B$28*$N$24)^N28</f>
        <v>-31509.282536873165</v>
      </c>
      <c r="O29" s="31"/>
      <c r="P29" s="23">
        <f>P23/(1+O28*$C$24)^P28</f>
        <v>322.66883620500039</v>
      </c>
      <c r="Q29" s="23">
        <f>(P23+Q23)/(1+O28*$D$24)^Q28</f>
        <v>645.33767241000078</v>
      </c>
      <c r="R29" s="23">
        <f>(Q23+R23+P23)/(1+$B$28*$E$24)^R28</f>
        <v>930.07014098144998</v>
      </c>
      <c r="S29" s="23">
        <f>(R23+S23+Q23)/(1+$B$28*$F$24)^S28</f>
        <v>914.77474671754669</v>
      </c>
      <c r="T29" s="23">
        <f>(S23+T23+R23+Q23+P23)/(1+$B$28*$G$24)^T28</f>
        <v>1497.1737859583352</v>
      </c>
      <c r="U29" s="23">
        <f>(T23+U23+S23+R23+Q23+P23)/(1+$B$28*$H$24)^U28</f>
        <v>1761.5049235162928</v>
      </c>
      <c r="V29" s="23">
        <f>(T23+U23+S23+R23+Q23+P23+V23)/(1+$B$28*$I$24)^V28</f>
        <v>2011.8340396523824</v>
      </c>
      <c r="W29" s="23">
        <f>(P23+U23+V23+T23+S23+R23+Q23+W23)/(1+$B$28*$J$24)^W28</f>
        <v>2247.4313470666643</v>
      </c>
      <c r="X29" s="23">
        <f>(P23+Q23+V23+W23+U23+T23+S23+R23+X23)/(1+$B$28*$K$24)^X28</f>
        <v>2467.6957124595933</v>
      </c>
      <c r="Y29" s="23">
        <f>(P23+Q23+R23+W23+X23+V23+U23+T23+S23+Y23)/(1+$B$28*$L$24)^Y28</f>
        <v>2672.1528625266715</v>
      </c>
      <c r="Z29" s="23">
        <f>(P23+Q23+R23+S23+T23+U23+V23+W23+X23+Y23+Z23)/(1+$B$28*$M$24)^Z28</f>
        <v>2860.4524875452225</v>
      </c>
      <c r="AA29" s="23">
        <f>(P23+Q23+R23+S23+T23+U23+V23+W23+X23+Y23+Z23+AA23)/(1+$B$28*$N$24)^AA28</f>
        <v>3032.3643468243445</v>
      </c>
      <c r="AB29" s="31"/>
      <c r="AC29" s="23">
        <f>AC23/(1+AB28*$C$24)^AC28</f>
        <v>2088.4126910497093</v>
      </c>
      <c r="AD29" s="23">
        <f>(AC23+AD23)/(1+AB28*$D$24)^AD28</f>
        <v>4176.8253820994187</v>
      </c>
      <c r="AE29" s="23">
        <f>(AD23+AE23+AC23)/(1+$B$28*$E$24)^AE28</f>
        <v>5830.2199968507621</v>
      </c>
      <c r="AF29" s="23">
        <f>(AE23+AF23+AD23)/(1+$B$28*$F$24)^AF28</f>
        <v>5674.7977146285648</v>
      </c>
      <c r="AG29" s="23">
        <f>(AF23+AG23+AE23+AD23+AC23)/(1+$B$28*$G$24)^AG28</f>
        <v>9192.258651197697</v>
      </c>
      <c r="AH29" s="23">
        <f>(AG23+AH23+AF23+AE23+AD23+AC23)/(1+$B$28*$H$24)^AH28</f>
        <v>10705.16966214377</v>
      </c>
      <c r="AI29" s="23">
        <f>(AG23+AH23+AF23+AE23+AD23+AC23+AI23)/(1+$B$28*$I$24)^AI28</f>
        <v>12103.374095316574</v>
      </c>
      <c r="AJ29" s="23">
        <f>(AC23+AH23+AI23+AG23+AF23+AE23+AD23+AJ23)/(1+$B$28*$J$24)^AJ28</f>
        <v>13385.955896334219</v>
      </c>
      <c r="AK29" s="23">
        <f>(AC23+AD23+AI23+AJ23+AH23+AG23+AF23+AE23+AK23)/(1+$B$28*$K$24)^AK28</f>
        <v>14552.793893954262</v>
      </c>
      <c r="AL29" s="23">
        <f>(AC23+AD23+AE23+AJ23+AK23+AI23+AH23+AG23+AF23+AL23)/(1+$B$28*$L$24)^AL28</f>
        <v>15604.5124759878</v>
      </c>
      <c r="AM29" s="23">
        <f>(AC23+AD23+AE23+AF23+AG23+AH23+AI23+AJ23+AK23+AL23+AM23)/(1+$B$28*$M$24)^AM28</f>
        <v>16542.428754512322</v>
      </c>
      <c r="AN29" s="23">
        <f>(AC23+AD23+AE23+AF23+AG23+AH23+AI23+AJ23+AK23+AL23+AM23+AN23)/(1+$B$28*$N$24)^AN28</f>
        <v>17368.497053217608</v>
      </c>
      <c r="AO29" s="31"/>
      <c r="AP29" s="23">
        <f>AP23/(1+AO28*$C$24)^AP28</f>
        <v>3107.153973983377</v>
      </c>
      <c r="AQ29" s="23">
        <f>(AP23+AQ23)/(1+AO28*$D$24)^AQ28</f>
        <v>6214.307947966754</v>
      </c>
      <c r="AR29" s="23">
        <f>(AQ23+AR23+AP23)/(1+$B$28*$E$24)^AR28</f>
        <v>8401.2001946002711</v>
      </c>
      <c r="AS29" s="23">
        <f>(AR23+AS23+AQ23)/(1+$B$28*$F$24)^AS28</f>
        <v>8092.3331495574039</v>
      </c>
      <c r="AT29" s="23">
        <f>(AS23+AT23+AR23+AQ23+AP23)/(1+$B$28*$G$24)^AT28</f>
        <v>12973.567266574611</v>
      </c>
      <c r="AU29" s="23">
        <f>(AT23+AU23+AS23+AR23+AQ23+AP23)/(1+$B$28*$H$24)^AU28</f>
        <v>14955.137083960733</v>
      </c>
      <c r="AV29" s="23">
        <f>(AT23+AU23+AS23+AR23+AQ23+AP23+AV23)/(1+$B$28*$I$24)^AV28</f>
        <v>16738.167594223993</v>
      </c>
      <c r="AW29" s="23">
        <f>(AP23+AU23+AV23+AT23+AS23+AR23+AQ23+AW23)/(1+$B$28*$J$24)^AW28</f>
        <v>18327.34249290319</v>
      </c>
      <c r="AX29" s="23">
        <f>(AP23+AQ23+AV23+AW23+AU23+AT23+AS23+AR23+AX23)/(1+$B$28*$K$24)^AX28</f>
        <v>19728.238115319058</v>
      </c>
      <c r="AY29" s="23">
        <f>(AP23+AQ23+AR23+AW23+AX23+AV23+AU23+AT23+AS23+AY23)/(1+$B$28*$L$24)^AY28</f>
        <v>20947.213599566363</v>
      </c>
      <c r="AZ29" s="23">
        <f>(AP23+AQ23+AR23+AS23+AT23+AU23+AV23+AW23+AX23+AY23+AZ23)/(1+$B$28*$M$24)^AZ28</f>
        <v>21991.302761638308</v>
      </c>
      <c r="BA29" s="23">
        <f>(AP23+AQ23+AR23+AS23+AT23+AU23+AV23+AW23+AX23+AY23+AZ23+BA23)/(1+$B$28*$N$24)^BA28</f>
        <v>22868.108664328847</v>
      </c>
      <c r="BC29" s="23">
        <f t="shared" ref="BC29:BN29" si="428">(AR23+AS23+AT23+AU23+AV23+AW23+AX23+AY23+AZ23+BA23+BB23+BC23)/(1+$B$28*$N$24)^BC28</f>
        <v>21861.682458271429</v>
      </c>
      <c r="BD29" s="23">
        <f t="shared" si="428"/>
        <v>22740.555157577812</v>
      </c>
      <c r="BE29" s="23">
        <f t="shared" si="428"/>
        <v>23599.371666476527</v>
      </c>
      <c r="BF29" s="23">
        <f t="shared" si="428"/>
        <v>24438.448205630382</v>
      </c>
      <c r="BG29" s="23">
        <f t="shared" si="428"/>
        <v>25258.096646471928</v>
      </c>
      <c r="BH29" s="23">
        <f t="shared" si="428"/>
        <v>26058.62456687641</v>
      </c>
      <c r="BI29" s="23">
        <f t="shared" si="428"/>
        <v>26840.335306153003</v>
      </c>
      <c r="BJ29" s="23">
        <f t="shared" si="428"/>
        <v>27603.528019362471</v>
      </c>
      <c r="BK29" s="23">
        <f t="shared" si="428"/>
        <v>28348.497730969215</v>
      </c>
      <c r="BL29" s="23">
        <f t="shared" si="428"/>
        <v>29075.535387835655</v>
      </c>
      <c r="BM29" s="23">
        <f t="shared" si="428"/>
        <v>29784.927911566687</v>
      </c>
      <c r="BN29" s="23">
        <f t="shared" si="428"/>
        <v>32163.396942271749</v>
      </c>
      <c r="BP29" s="23">
        <f t="shared" ref="BP29" si="429">(BE23+BF23+BG23+BH23+BI23+BJ23+BK23+BL23+BM23+BN23+BO23+BP23)/(1+$B$28*$N$24)^BP28</f>
        <v>28835.541806356952</v>
      </c>
      <c r="BQ29" s="23">
        <f t="shared" ref="BQ29" si="430">(BF23+BG23+BH23+BI23+BJ23+BK23+BL23+BM23+BN23+BO23+BP23+BQ23)/(1+$B$28*$N$24)^BQ28</f>
        <v>28198.066265294568</v>
      </c>
      <c r="BR29" s="23">
        <f t="shared" ref="BR29" si="431">(BG23+BH23+BI23+BJ23+BK23+BL23+BM23+BN23+BO23+BP23+BQ23+BR23)/(1+$B$28*$N$24)^BR28</f>
        <v>27570.549114963706</v>
      </c>
      <c r="BS29" s="23">
        <f t="shared" ref="BS29" si="432">(BH23+BI23+BJ23+BK23+BL23+BM23+BN23+BO23+BP23+BQ23+BR23+BS23)/(1+$B$28*$N$24)^BS28</f>
        <v>26952.853992340617</v>
      </c>
      <c r="BT29" s="23">
        <f t="shared" ref="BT29" si="433">(BI23+BJ23+BK23+BL23+BM23+BN23+BO23+BP23+BQ23+BR23+BS23+BT23)/(1+$B$28*$N$24)^BT28</f>
        <v>26344.8462754381</v>
      </c>
      <c r="BU29" s="23">
        <f t="shared" ref="BU29" si="434">(BJ23+BK23+BL23+BM23+BN23+BO23+BP23+BQ23+BR23+BS23+BT23+BU23)/(1+$B$28*$N$24)^BU28</f>
        <v>25746.393062022988</v>
      </c>
      <c r="BV29" s="23">
        <f t="shared" ref="BV29" si="435">(BK23+BL23+BM23+BN23+BO23+BP23+BQ23+BR23+BS23+BT23+BU23+BV23)/(1+$B$28*$N$24)^BV28</f>
        <v>25157.363148586202</v>
      </c>
      <c r="BW29" s="23">
        <f t="shared" ref="BW29" si="436">(BL23+BM23+BN23+BO23+BP23+BQ23+BR23+BS23+BT23+BU23+BV23+BW23)/(1+$B$28*$N$24)^BW28</f>
        <v>24577.627009562428</v>
      </c>
      <c r="BX29" s="23">
        <f t="shared" ref="BX29" si="437">(BM23+BN23+BO23+BP23+BQ23+BR23+BS23+BT23+BU23+BV23+BW23+BX23)/(1+$B$28*$N$24)^BX28</f>
        <v>24007.056776796504</v>
      </c>
      <c r="BY29" s="23">
        <f t="shared" ref="BY29" si="438">(BN23+BO23+BP23+BQ23+BR23+BS23+BT23+BU23+BV23+BW23+BX23+BY23)/(1+$B$28*$N$24)^BY28</f>
        <v>23445.526219253668</v>
      </c>
      <c r="BZ29" s="23">
        <f t="shared" ref="BZ29" si="439">(BO23+BP23+BQ23+BR23+BS23+BT23+BU23+BV23+BW23+BX23+BY23+BZ23)/(1+$B$28*$N$24)^BZ28</f>
        <v>22892.91072297077</v>
      </c>
      <c r="CA29" s="23">
        <f t="shared" ref="CA29" si="440">(BP23+BQ23+BR23+BS23+BT23+BU23+BV23+BW23+BX23+BY23+BZ23+CA23)/(1+$B$28*$N$24)^CA28</f>
        <v>24721.019199141923</v>
      </c>
      <c r="CC29" s="23">
        <f t="shared" ref="CC29" si="441">(BR23+BS23+BT23+BU23+BV23+BW23+BX23+BY23+BZ23+CA23+CB23+CC23)/(1+$B$28*$N$24)^CC28</f>
        <v>22506.43849512043</v>
      </c>
      <c r="CD29" s="23">
        <f t="shared" ref="CD29" si="442">(BS23+BT23+BU23+BV23+BW23+BX23+BY23+BZ23+CA23+CB23+CC23+CD23)/(1+$B$28*$N$24)^CD28</f>
        <v>22352.746946272575</v>
      </c>
      <c r="CE29" s="23">
        <f t="shared" ref="CE29" si="443">(BT23+BU23+BV23+BW23+BX23+BY23+BZ23+CA23+CB23+CC23+CD23+CE23)/(1+$B$28*$N$24)^CE28</f>
        <v>22199.859184416411</v>
      </c>
      <c r="CF29" s="23">
        <f t="shared" ref="CF29" si="444">(BU23+BV23+BW23+BX23+BY23+BZ23+CA23+CB23+CC23+CD23+CE23+CF23)/(1+$B$28*$N$24)^CF28</f>
        <v>22047.774700868507</v>
      </c>
      <c r="CG29" s="23">
        <f t="shared" ref="CG29" si="445">(BV23+BW23+BX23+BY23+BZ23+CA23+CB23+CC23+CD23+CE23+CF23+CG23)/(1+$B$28*$N$24)^CG28</f>
        <v>21896.492914721694</v>
      </c>
      <c r="CH29" s="23">
        <f t="shared" ref="CH29" si="446">(BW23+BX23+BY23+BZ23+CA23+CB23+CC23+CD23+CE23+CF23+CG23+CH23)/(1+$B$28*$N$24)^CH28</f>
        <v>21746.013174361</v>
      </c>
      <c r="CI29" s="23">
        <f t="shared" ref="CI29" si="447">(BX23+BY23+BZ23+CA23+CB23+CC23+CD23+CE23+CF23+CG23+CH23+CI23)/(1+$B$28*$N$24)^CI28</f>
        <v>21596.334758956273</v>
      </c>
      <c r="CJ29" s="23">
        <f t="shared" ref="CJ29" si="448">(BY23+BZ23+CA23+CB23+CC23+CD23+CE23+CF23+CG23+CH23+CI23+CJ23)/(1+$B$28*$N$24)^CJ28</f>
        <v>21447.456879931808</v>
      </c>
      <c r="CK29" s="23">
        <f t="shared" ref="CK29" si="449">(BZ23+CA23+CB23+CC23+CD23+CE23+CF23+CG23+CH23+CI23+CJ23+CK23)/(1+$B$28*$N$24)^CK28</f>
        <v>21299.378682413324</v>
      </c>
      <c r="CL29" s="23">
        <f t="shared" ref="CL29" si="450">(CA23+CB23+CC23+CD23+CE23+CF23+CG23+CH23+CI23+CJ23+CK23+CL23)/(1+$B$28*$N$24)^CL28</f>
        <v>21152.099246652571</v>
      </c>
      <c r="CM29" s="23">
        <f t="shared" ref="CM29" si="451">(CB23+CC23+CD23+CE23+CF23+CG23+CH23+CI23+CJ23+CK23+CL23+CM23)/(1+$B$28*$N$24)^CM28</f>
        <v>21005.617589429814</v>
      </c>
      <c r="CN29" s="23">
        <f t="shared" ref="CN29" si="452">(CC23+CD23+CE23+CF23+CG23+CH23+CI23+CJ23+CK23+CL23+CM23+CN23)/(1+$B$28*$N$24)^CN28</f>
        <v>22683.016677170774</v>
      </c>
      <c r="CP29" s="23">
        <f t="shared" ref="CP29" si="453">(CE23+CF23+CG23+CH23+CI23+CJ23+CK23+CL23+CM23+CN23+CO23+CP23)/(1+$B$28*$N$24)^CP28</f>
        <v>20665.68285840084</v>
      </c>
      <c r="CQ29" s="23">
        <f t="shared" ref="CQ29" si="454">(CF23+CG23+CH23+CI23+CJ23+CK23+CL23+CM23+CN23+CO23+CP23+CQ23)/(1+$B$28*$N$24)^CQ28</f>
        <v>20539.040909874831</v>
      </c>
      <c r="CR29" s="23">
        <f t="shared" ref="CR29" si="455">(CG23+CH23+CI23+CJ23+CK23+CL23+CM23+CN23+CO23+CP23+CQ23+CR23)/(1+$B$28*$N$24)^CR28</f>
        <v>20412.843563773156</v>
      </c>
      <c r="CS29" s="23">
        <f t="shared" ref="CS29" si="456">(CH23+CI23+CJ23+CK23+CL23+CM23+CN23+CO23+CP23+CQ23+CR23+CS23)/(1+$B$28*$N$24)^CS28</f>
        <v>20287.094813275646</v>
      </c>
      <c r="CT29" s="23">
        <f t="shared" ref="CT29" si="457">(CI23+CJ23+CK23+CL23+CM23+CN23+CO23+CP23+CQ23+CR23+CS23+CT23)/(1+$B$28*$N$24)^CT28</f>
        <v>20161.798524983682</v>
      </c>
      <c r="CU29" s="23">
        <f t="shared" ref="CU29" si="458">(CJ23+CK23+CL23+CM23+CN23+CO23+CP23+CQ23+CR23+CS23+CT23+CU23)/(1+$B$28*$N$24)^CU28</f>
        <v>20036.958441075447</v>
      </c>
      <c r="CV29" s="23">
        <f t="shared" ref="CV29" si="459">(CK23+CL23+CM23+CN23+CO23+CP23+CQ23+CR23+CS23+CT23+CU23+CV23)/(1+$B$28*$N$24)^CV28</f>
        <v>19912.578181430465</v>
      </c>
      <c r="CW29" s="23">
        <f t="shared" ref="CW29" si="460">(CL23+CM23+CN23+CO23+CP23+CQ23+CR23+CS23+CT23+CU23+CV23+CW23)/(1+$B$28*$N$24)^CW28</f>
        <v>19788.66124572391</v>
      </c>
      <c r="CX29" s="23">
        <f t="shared" ref="CX29" si="461">(CM23+CN23+CO23+CP23+CQ23+CR23+CS23+CT23+CU23+CV23+CW23+CX23)/(1+$B$28*$N$24)^CX28</f>
        <v>19665.211015491008</v>
      </c>
      <c r="CY29" s="23">
        <f t="shared" ref="CY29" si="462">(CN23+CO23+CP23+CQ23+CR23+CS23+CT23+CU23+CV23+CW23+CX23+CY23)/(1+$B$28*$N$24)^CY28</f>
        <v>19542.230756161909</v>
      </c>
      <c r="CZ29" s="23">
        <f t="shared" ref="CZ29" si="463">(CO23+CP23+CQ23+CR23+CS23+CT23+CU23+CV23+CW23+CX23+CY23+CZ23)/(1+$B$28*$N$24)^CZ28</f>
        <v>19419.723619067528</v>
      </c>
      <c r="DA29" s="23">
        <f t="shared" ref="DA29" si="464">(CP23+CQ23+CR23+CS23+CT23+CU23+CV23+CW23+CX23+CY23+CZ23+DA23)/(1+$B$28*$N$24)^DA28</f>
        <v>20970.481483915897</v>
      </c>
      <c r="DC29" s="23">
        <f t="shared" ref="DC29" si="465">(CR23+CS23+CT23+CU23+CV23+CW23+CX23+CY23+CZ23+DA23+DB23+DC23)/(1+$B$28*$N$24)^DC28</f>
        <v>19084.883016305928</v>
      </c>
      <c r="DD29" s="23">
        <f t="shared" ref="DD29" si="466">(CS23+CT23+CU23+CV23+CW23+CX23+CY23+CZ23+DA23+DB23+DC23+DD23)/(1+$B$28*$N$24)^DD28</f>
        <v>18947.648782709839</v>
      </c>
      <c r="DE29" s="23">
        <f t="shared" ref="DE29" si="467">(CT23+CU23+CV23+CW23+CX23+CY23+CZ23+DA23+DB23+DC23+DD23+DE23)/(1+$B$28*$N$24)^DE28</f>
        <v>18811.236133689421</v>
      </c>
      <c r="DF29" s="23">
        <f t="shared" ref="DF29" si="468">(CU23+CV23+CW23+CX23+CY23+CZ23+DA23+DB23+DC23+DD23+DE23+DF23)/(1+$B$28*$N$24)^DF28</f>
        <v>18675.642510034522</v>
      </c>
      <c r="DG29" s="23">
        <f t="shared" ref="DG29" si="469">(CV23+CW23+CX23+CY23+CZ23+DA23+DB23+DC23+DD23+DE23+DF23+DG23)/(1+$B$28*$N$24)^DG28</f>
        <v>18540.865320040226</v>
      </c>
      <c r="DH29" s="23">
        <f t="shared" ref="DH29" si="470">(CW23+CX23+CY23+CZ23+DA23+DB23+DC23+DD23+DE23+DF23+DG23+DH23)/(1+$B$28*$N$24)^DH28</f>
        <v>18406.901940428161</v>
      </c>
      <c r="DI29" s="23">
        <f t="shared" ref="DI29" si="471">(CX23+CY23+CZ23+DA23+DB23+DC23+DD23+DE23+DF23+DG23+DH23+DI23)/(1+$B$28*$N$24)^DI28</f>
        <v>18273.749717252536</v>
      </c>
      <c r="DJ29" s="23">
        <f t="shared" ref="DJ29" si="472">(CY23+CZ23+DA23+DB23+DC23+DD23+DE23+DF23+DG23+DH23+DI23+DJ23)/(1+$B$28*$N$24)^DJ28</f>
        <v>18141.405966790982</v>
      </c>
      <c r="DK29" s="23">
        <f t="shared" ref="DK29" si="473">(CZ23+DA23+DB23+DC23+DD23+DE23+DF23+DG23+DH23+DI23+DJ23+DK23)/(1+$B$28*$N$24)^DK28</f>
        <v>18009.867976420523</v>
      </c>
      <c r="DL29" s="23">
        <f t="shared" ref="DL29" si="474">(DA23+DB23+DC23+DD23+DE23+DF23+DG23+DH23+DI23+DJ23+DK23+DL23)/(1+$B$28*$N$24)^DL28</f>
        <v>17879.133005478852</v>
      </c>
      <c r="DM29" s="23">
        <f t="shared" ref="DM29" si="475">(DB23+DC23+DD23+DE23+DF23+DG23+DH23+DI23+DJ23+DK23+DL23+DM23)/(1+$B$28*$N$24)^DM28</f>
        <v>17749.198286111117</v>
      </c>
      <c r="DN29" s="23">
        <f t="shared" ref="DN29" si="476">(DC23+DD23+DE23+DF23+DG23+DH23+DI23+DJ23+DK23+DL23+DM23+DN23)/(1+$B$28*$N$24)^DN28</f>
        <v>19166.556708756969</v>
      </c>
    </row>
    <row r="30" spans="1:119" s="23" customFormat="1">
      <c r="A30" s="378" t="s">
        <v>47</v>
      </c>
      <c r="B30" s="384"/>
      <c r="P30" s="23">
        <f>$N$29+P29</f>
        <v>-31186.613700668164</v>
      </c>
      <c r="Q30" s="23">
        <f>$N$29+Q29</f>
        <v>-30863.944864463163</v>
      </c>
      <c r="R30" s="23">
        <f>$N$29+R29</f>
        <v>-30579.212395891715</v>
      </c>
      <c r="S30" s="23">
        <f t="shared" ref="S30:AA30" si="477">$N$29+S29</f>
        <v>-30594.507790155618</v>
      </c>
      <c r="T30" s="23">
        <f t="shared" si="477"/>
        <v>-30012.108750914831</v>
      </c>
      <c r="U30" s="23">
        <f t="shared" si="477"/>
        <v>-29747.777613356873</v>
      </c>
      <c r="V30" s="23">
        <f t="shared" si="477"/>
        <v>-29497.448497220783</v>
      </c>
      <c r="W30" s="23">
        <f t="shared" si="477"/>
        <v>-29261.851189806501</v>
      </c>
      <c r="X30" s="23">
        <f t="shared" si="477"/>
        <v>-29041.586824413571</v>
      </c>
      <c r="Y30" s="23">
        <f t="shared" si="477"/>
        <v>-28837.129674346492</v>
      </c>
      <c r="Z30" s="23">
        <f t="shared" si="477"/>
        <v>-28648.830049327942</v>
      </c>
      <c r="AA30" s="23">
        <f t="shared" si="477"/>
        <v>-28476.918190048818</v>
      </c>
      <c r="AC30" s="23">
        <f>$AA$30+AC29</f>
        <v>-26388.505498999108</v>
      </c>
      <c r="AD30" s="23">
        <f t="shared" ref="AD30:AN30" si="478">$AA$30+AD29</f>
        <v>-24300.092807949401</v>
      </c>
      <c r="AE30" s="23">
        <f t="shared" si="478"/>
        <v>-22646.698193198055</v>
      </c>
      <c r="AF30" s="23">
        <f t="shared" si="478"/>
        <v>-22802.120475420255</v>
      </c>
      <c r="AG30" s="23">
        <f t="shared" si="478"/>
        <v>-19284.65953885112</v>
      </c>
      <c r="AH30" s="23">
        <f t="shared" si="478"/>
        <v>-17771.748527905049</v>
      </c>
      <c r="AI30" s="23">
        <f t="shared" si="478"/>
        <v>-16373.544094732244</v>
      </c>
      <c r="AJ30" s="23">
        <f t="shared" si="478"/>
        <v>-15090.9622937146</v>
      </c>
      <c r="AK30" s="23">
        <f t="shared" si="478"/>
        <v>-13924.124296094556</v>
      </c>
      <c r="AL30" s="23">
        <f t="shared" si="478"/>
        <v>-12872.405714061018</v>
      </c>
      <c r="AM30" s="23">
        <f t="shared" si="478"/>
        <v>-11934.489435536496</v>
      </c>
      <c r="AN30" s="23">
        <f t="shared" si="478"/>
        <v>-11108.42113683121</v>
      </c>
      <c r="AP30" s="23">
        <f>$AN$30+AP29</f>
        <v>-8001.2671628478329</v>
      </c>
      <c r="AQ30" s="23">
        <f t="shared" ref="AQ30:BA30" si="479">$AN$30+AQ29</f>
        <v>-4894.1131888644559</v>
      </c>
      <c r="AR30" s="23">
        <f t="shared" si="479"/>
        <v>-2707.2209422309388</v>
      </c>
      <c r="AS30" s="23">
        <f t="shared" si="479"/>
        <v>-3016.087987273806</v>
      </c>
      <c r="AT30" s="23">
        <f t="shared" si="479"/>
        <v>1865.1461297434016</v>
      </c>
      <c r="AU30" s="23">
        <f t="shared" si="479"/>
        <v>3846.7159471295236</v>
      </c>
      <c r="AV30" s="23">
        <f t="shared" si="479"/>
        <v>5629.7464573927828</v>
      </c>
      <c r="AW30" s="23">
        <f t="shared" si="479"/>
        <v>7218.92135607198</v>
      </c>
      <c r="AX30" s="23">
        <f t="shared" si="479"/>
        <v>8619.8169784878482</v>
      </c>
      <c r="AY30" s="23">
        <f t="shared" si="479"/>
        <v>9838.7924627351531</v>
      </c>
      <c r="AZ30" s="23">
        <f t="shared" si="479"/>
        <v>10882.881624807098</v>
      </c>
      <c r="BA30" s="23">
        <f t="shared" si="479"/>
        <v>11759.687527497637</v>
      </c>
      <c r="BC30" s="23">
        <f>$BA$30+BC29</f>
        <v>33621.369985769066</v>
      </c>
      <c r="BD30" s="23">
        <f t="shared" ref="BD30:BN30" si="480">$BA$30+BD29</f>
        <v>34500.242685075449</v>
      </c>
      <c r="BE30" s="23">
        <f t="shared" si="480"/>
        <v>35359.059193974164</v>
      </c>
      <c r="BF30" s="23">
        <f t="shared" si="480"/>
        <v>36198.135733128016</v>
      </c>
      <c r="BG30" s="23">
        <f t="shared" si="480"/>
        <v>37017.784173969565</v>
      </c>
      <c r="BH30" s="23">
        <f t="shared" si="480"/>
        <v>37818.312094374051</v>
      </c>
      <c r="BI30" s="23">
        <f t="shared" si="480"/>
        <v>38600.022833650641</v>
      </c>
      <c r="BJ30" s="23">
        <f t="shared" si="480"/>
        <v>39363.215546860112</v>
      </c>
      <c r="BK30" s="23">
        <f t="shared" si="480"/>
        <v>40108.185258466852</v>
      </c>
      <c r="BL30" s="23">
        <f t="shared" si="480"/>
        <v>40835.222915333288</v>
      </c>
      <c r="BM30" s="23">
        <f t="shared" si="480"/>
        <v>41544.615439064321</v>
      </c>
      <c r="BN30" s="23">
        <f t="shared" si="480"/>
        <v>43923.084469769383</v>
      </c>
      <c r="BP30" s="23">
        <f>$BN$30+BP29</f>
        <v>72758.626276126335</v>
      </c>
      <c r="BQ30" s="23">
        <f t="shared" ref="BQ30:CA30" si="481">$BN$30+BQ29</f>
        <v>72121.150735063944</v>
      </c>
      <c r="BR30" s="23">
        <f t="shared" si="481"/>
        <v>71493.633584733092</v>
      </c>
      <c r="BS30" s="23">
        <f t="shared" si="481"/>
        <v>70875.938462110003</v>
      </c>
      <c r="BT30" s="23">
        <f t="shared" si="481"/>
        <v>70267.930745207486</v>
      </c>
      <c r="BU30" s="23">
        <f t="shared" si="481"/>
        <v>69669.477531792363</v>
      </c>
      <c r="BV30" s="23">
        <f t="shared" si="481"/>
        <v>69080.447618355582</v>
      </c>
      <c r="BW30" s="23">
        <f t="shared" si="481"/>
        <v>68500.711479331803</v>
      </c>
      <c r="BX30" s="23">
        <f t="shared" si="481"/>
        <v>67930.14124656588</v>
      </c>
      <c r="BY30" s="23">
        <f t="shared" si="481"/>
        <v>67368.610689023044</v>
      </c>
      <c r="BZ30" s="23">
        <f t="shared" si="481"/>
        <v>66815.995192740156</v>
      </c>
      <c r="CA30" s="23">
        <f t="shared" si="481"/>
        <v>68644.10366891131</v>
      </c>
      <c r="CC30" s="23">
        <f>$CA$30+CC29</f>
        <v>91150.542164031736</v>
      </c>
      <c r="CD30" s="23">
        <f t="shared" ref="CD30:CN30" si="482">$CA$30+CD29</f>
        <v>90996.850615183881</v>
      </c>
      <c r="CE30" s="23">
        <f t="shared" si="482"/>
        <v>90843.962853327714</v>
      </c>
      <c r="CF30" s="23">
        <f t="shared" si="482"/>
        <v>90691.878369779821</v>
      </c>
      <c r="CG30" s="23">
        <f t="shared" si="482"/>
        <v>90540.596583633</v>
      </c>
      <c r="CH30" s="23">
        <f t="shared" si="482"/>
        <v>90390.116843272306</v>
      </c>
      <c r="CI30" s="23">
        <f t="shared" si="482"/>
        <v>90240.438427867586</v>
      </c>
      <c r="CJ30" s="23">
        <f t="shared" si="482"/>
        <v>90091.560548843117</v>
      </c>
      <c r="CK30" s="23">
        <f t="shared" si="482"/>
        <v>89943.482351324637</v>
      </c>
      <c r="CL30" s="23">
        <f t="shared" si="482"/>
        <v>89796.202915563888</v>
      </c>
      <c r="CM30" s="23">
        <f t="shared" si="482"/>
        <v>89649.721258341131</v>
      </c>
      <c r="CN30" s="23">
        <f t="shared" si="482"/>
        <v>91327.120346082083</v>
      </c>
      <c r="CP30" s="23">
        <f>$CN$30+CP29</f>
        <v>111992.80320448292</v>
      </c>
      <c r="CQ30" s="23">
        <f t="shared" ref="CQ30:DA30" si="483">$CN$30+CQ29</f>
        <v>111866.16125595692</v>
      </c>
      <c r="CR30" s="23">
        <f t="shared" si="483"/>
        <v>111739.96390985524</v>
      </c>
      <c r="CS30" s="23">
        <f t="shared" si="483"/>
        <v>111614.21515935773</v>
      </c>
      <c r="CT30" s="23">
        <f t="shared" si="483"/>
        <v>111488.91887106576</v>
      </c>
      <c r="CU30" s="23">
        <f t="shared" si="483"/>
        <v>111364.07878715753</v>
      </c>
      <c r="CV30" s="23">
        <f t="shared" si="483"/>
        <v>111239.69852751255</v>
      </c>
      <c r="CW30" s="23">
        <f t="shared" si="483"/>
        <v>111115.78159180599</v>
      </c>
      <c r="CX30" s="23">
        <f t="shared" si="483"/>
        <v>110992.33136157309</v>
      </c>
      <c r="CY30" s="23">
        <f t="shared" si="483"/>
        <v>110869.35110224399</v>
      </c>
      <c r="CZ30" s="23">
        <f t="shared" si="483"/>
        <v>110746.84396514962</v>
      </c>
      <c r="DA30" s="23">
        <f t="shared" si="483"/>
        <v>112297.60182999798</v>
      </c>
      <c r="DC30" s="23">
        <f>$DA$30+DC29</f>
        <v>131382.48484630391</v>
      </c>
      <c r="DD30" s="23">
        <f t="shared" ref="DD30:DN30" si="484">$DA$30+DD29</f>
        <v>131245.25061270781</v>
      </c>
      <c r="DE30" s="23">
        <f t="shared" si="484"/>
        <v>131108.8379636874</v>
      </c>
      <c r="DF30" s="23">
        <f t="shared" si="484"/>
        <v>130973.2443400325</v>
      </c>
      <c r="DG30" s="23">
        <f t="shared" si="484"/>
        <v>130838.4671500382</v>
      </c>
      <c r="DH30" s="23">
        <f t="shared" si="484"/>
        <v>130704.50377042613</v>
      </c>
      <c r="DI30" s="23">
        <f t="shared" si="484"/>
        <v>130571.35154725051</v>
      </c>
      <c r="DJ30" s="23">
        <f t="shared" si="484"/>
        <v>130439.00779678897</v>
      </c>
      <c r="DK30" s="23">
        <f t="shared" si="484"/>
        <v>130307.46980641849</v>
      </c>
      <c r="DL30" s="23">
        <f t="shared" si="484"/>
        <v>130176.73483547683</v>
      </c>
      <c r="DM30" s="23">
        <f t="shared" si="484"/>
        <v>130046.80011610909</v>
      </c>
      <c r="DN30" s="23">
        <f t="shared" si="484"/>
        <v>131464.15853875494</v>
      </c>
    </row>
    <row r="31" spans="1:119" ht="17">
      <c r="A31" s="376" t="s">
        <v>54</v>
      </c>
      <c r="B31" s="385">
        <v>0.13</v>
      </c>
      <c r="C31" s="21"/>
      <c r="D31" s="16"/>
      <c r="E31" s="16"/>
      <c r="F31" s="16"/>
      <c r="G31" s="16"/>
      <c r="H31" s="16"/>
      <c r="I31" s="21"/>
      <c r="J31" s="16"/>
      <c r="K31" s="16"/>
      <c r="L31" s="16"/>
      <c r="M31" s="16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Q31"/>
      <c r="AR31"/>
      <c r="AS31"/>
      <c r="AT31"/>
      <c r="AU31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</row>
    <row r="32" spans="1:119" ht="34">
      <c r="A32" s="376" t="s">
        <v>10</v>
      </c>
      <c r="B32" s="382">
        <f>MAX(C32:DO32)</f>
        <v>85</v>
      </c>
      <c r="C32" s="16">
        <f>IF(C31&gt;$O$12,C29,0)</f>
        <v>0</v>
      </c>
      <c r="D32" s="16">
        <f t="shared" ref="D32:M32" si="485">IF(C32&gt;0,C32,IF(D30&gt;$O$12,D24,0))</f>
        <v>0</v>
      </c>
      <c r="E32" s="16">
        <f t="shared" si="485"/>
        <v>0</v>
      </c>
      <c r="F32" s="16">
        <f t="shared" si="485"/>
        <v>0</v>
      </c>
      <c r="G32" s="16">
        <f t="shared" si="485"/>
        <v>0</v>
      </c>
      <c r="H32" s="16">
        <f t="shared" si="485"/>
        <v>0</v>
      </c>
      <c r="I32" s="16">
        <f t="shared" si="485"/>
        <v>0</v>
      </c>
      <c r="J32" s="16">
        <f t="shared" si="485"/>
        <v>0</v>
      </c>
      <c r="K32" s="16">
        <f t="shared" si="485"/>
        <v>0</v>
      </c>
      <c r="L32" s="16">
        <f t="shared" si="485"/>
        <v>0</v>
      </c>
      <c r="M32" s="16">
        <f t="shared" si="485"/>
        <v>0</v>
      </c>
      <c r="N32" s="16">
        <f t="shared" ref="N32:Z32" si="486">IF(M32&gt;0,M32,IF(N30&gt;$O$12,N24,0))</f>
        <v>0</v>
      </c>
      <c r="O32" s="16"/>
      <c r="P32" s="16">
        <f t="shared" si="486"/>
        <v>0</v>
      </c>
      <c r="Q32" s="16">
        <f t="shared" si="486"/>
        <v>0</v>
      </c>
      <c r="R32" s="16">
        <f t="shared" si="486"/>
        <v>0</v>
      </c>
      <c r="S32" s="16">
        <f t="shared" si="486"/>
        <v>0</v>
      </c>
      <c r="T32" s="16">
        <f t="shared" si="486"/>
        <v>0</v>
      </c>
      <c r="U32" s="16">
        <f t="shared" si="486"/>
        <v>0</v>
      </c>
      <c r="V32" s="16">
        <f t="shared" si="486"/>
        <v>0</v>
      </c>
      <c r="W32" s="16">
        <f t="shared" si="486"/>
        <v>0</v>
      </c>
      <c r="X32" s="16">
        <f t="shared" si="486"/>
        <v>0</v>
      </c>
      <c r="Y32" s="16">
        <f t="shared" si="486"/>
        <v>0</v>
      </c>
      <c r="Z32" s="16">
        <f t="shared" si="486"/>
        <v>0</v>
      </c>
      <c r="AA32" s="16">
        <f t="shared" ref="AA32:AM32" si="487">IF(Z32&gt;0,Z32,IF(AA30&gt;$O$12,AA24,0))</f>
        <v>0</v>
      </c>
      <c r="AB32" s="16"/>
      <c r="AC32" s="16">
        <f t="shared" si="487"/>
        <v>0</v>
      </c>
      <c r="AD32" s="16">
        <f t="shared" si="487"/>
        <v>0</v>
      </c>
      <c r="AE32" s="16">
        <f t="shared" si="487"/>
        <v>0</v>
      </c>
      <c r="AF32" s="16">
        <f t="shared" si="487"/>
        <v>0</v>
      </c>
      <c r="AG32" s="16">
        <f t="shared" si="487"/>
        <v>0</v>
      </c>
      <c r="AH32" s="16">
        <f t="shared" si="487"/>
        <v>0</v>
      </c>
      <c r="AI32" s="16">
        <f t="shared" si="487"/>
        <v>0</v>
      </c>
      <c r="AJ32" s="16">
        <f t="shared" si="487"/>
        <v>0</v>
      </c>
      <c r="AK32" s="16">
        <f t="shared" si="487"/>
        <v>0</v>
      </c>
      <c r="AL32" s="16">
        <f t="shared" si="487"/>
        <v>0</v>
      </c>
      <c r="AM32" s="16">
        <f t="shared" si="487"/>
        <v>0</v>
      </c>
      <c r="AN32" s="16">
        <f>IF(AM32&gt;0,AM32,IF(AN30&gt;$O$12,AN24,0))</f>
        <v>0</v>
      </c>
      <c r="AP32" s="16">
        <f t="shared" ref="AP32:AZ32" si="488">IF(AO32&gt;0,AO32,IF(AP30&gt;$O$12,AP24,0))</f>
        <v>0</v>
      </c>
      <c r="AQ32" s="16">
        <f>IF(AP32&gt;0,AP32,IF(AQ30&gt;$O$12,AQ24,0))</f>
        <v>0</v>
      </c>
      <c r="AR32" s="16">
        <f t="shared" si="488"/>
        <v>0</v>
      </c>
      <c r="AS32" s="16">
        <f t="shared" si="488"/>
        <v>0</v>
      </c>
      <c r="AT32" s="16">
        <f t="shared" si="488"/>
        <v>0</v>
      </c>
      <c r="AU32" s="16">
        <f t="shared" si="488"/>
        <v>0</v>
      </c>
      <c r="AV32" s="16">
        <f t="shared" si="488"/>
        <v>0</v>
      </c>
      <c r="AW32" s="16">
        <f t="shared" si="488"/>
        <v>0</v>
      </c>
      <c r="AX32" s="16">
        <f t="shared" si="488"/>
        <v>0</v>
      </c>
      <c r="AY32" s="16">
        <f t="shared" si="488"/>
        <v>0</v>
      </c>
      <c r="AZ32" s="16">
        <f t="shared" si="488"/>
        <v>0</v>
      </c>
      <c r="BA32" s="16">
        <f t="shared" ref="BA32:BM32" si="489">IF(AZ32&gt;0,AZ32,IF(BA30&gt;$O$12,BA24,0))</f>
        <v>0</v>
      </c>
      <c r="BB32" s="16"/>
      <c r="BC32" s="16">
        <f t="shared" si="489"/>
        <v>0</v>
      </c>
      <c r="BD32" s="16">
        <f t="shared" si="489"/>
        <v>0</v>
      </c>
      <c r="BE32" s="16">
        <f t="shared" si="489"/>
        <v>0</v>
      </c>
      <c r="BF32" s="16">
        <f t="shared" si="489"/>
        <v>0</v>
      </c>
      <c r="BG32" s="16">
        <f t="shared" si="489"/>
        <v>0</v>
      </c>
      <c r="BH32" s="16">
        <f t="shared" si="489"/>
        <v>0</v>
      </c>
      <c r="BI32" s="16">
        <f t="shared" si="489"/>
        <v>0</v>
      </c>
      <c r="BJ32" s="16">
        <f t="shared" si="489"/>
        <v>0</v>
      </c>
      <c r="BK32" s="16">
        <f t="shared" si="489"/>
        <v>0</v>
      </c>
      <c r="BL32" s="16">
        <f t="shared" si="489"/>
        <v>0</v>
      </c>
      <c r="BM32" s="16">
        <f t="shared" si="489"/>
        <v>0</v>
      </c>
      <c r="BN32" s="16">
        <f t="shared" ref="BN32:BZ32" si="490">IF(BM32&gt;0,BM32,IF(BN30&gt;$O$12,BN24,0))</f>
        <v>0</v>
      </c>
      <c r="BO32" s="16"/>
      <c r="BP32" s="16">
        <f t="shared" si="490"/>
        <v>0</v>
      </c>
      <c r="BQ32" s="16">
        <f t="shared" si="490"/>
        <v>0</v>
      </c>
      <c r="BR32" s="16">
        <f t="shared" si="490"/>
        <v>0</v>
      </c>
      <c r="BS32" s="16">
        <f t="shared" si="490"/>
        <v>0</v>
      </c>
      <c r="BT32" s="16">
        <f t="shared" si="490"/>
        <v>0</v>
      </c>
      <c r="BU32" s="16">
        <f t="shared" si="490"/>
        <v>0</v>
      </c>
      <c r="BV32" s="16">
        <f t="shared" si="490"/>
        <v>0</v>
      </c>
      <c r="BW32" s="16">
        <f t="shared" si="490"/>
        <v>0</v>
      </c>
      <c r="BX32" s="16">
        <f t="shared" si="490"/>
        <v>0</v>
      </c>
      <c r="BY32" s="16">
        <f t="shared" si="490"/>
        <v>0</v>
      </c>
      <c r="BZ32" s="16">
        <f t="shared" si="490"/>
        <v>0</v>
      </c>
      <c r="CA32" s="16">
        <f t="shared" ref="CA32:CM32" si="491">IF(BZ32&gt;0,BZ32,IF(CA30&gt;$O$12,CA24,0))</f>
        <v>0</v>
      </c>
      <c r="CC32" s="16">
        <f t="shared" si="491"/>
        <v>0</v>
      </c>
      <c r="CD32" s="16">
        <f t="shared" si="491"/>
        <v>0</v>
      </c>
      <c r="CE32" s="16">
        <f t="shared" si="491"/>
        <v>0</v>
      </c>
      <c r="CF32" s="16">
        <f t="shared" si="491"/>
        <v>0</v>
      </c>
      <c r="CG32" s="16">
        <f t="shared" si="491"/>
        <v>0</v>
      </c>
      <c r="CH32" s="16">
        <f t="shared" si="491"/>
        <v>0</v>
      </c>
      <c r="CI32" s="16">
        <f t="shared" si="491"/>
        <v>0</v>
      </c>
      <c r="CJ32" s="16">
        <f t="shared" si="491"/>
        <v>0</v>
      </c>
      <c r="CK32" s="16">
        <f t="shared" si="491"/>
        <v>0</v>
      </c>
      <c r="CL32" s="16">
        <f t="shared" si="491"/>
        <v>0</v>
      </c>
      <c r="CM32" s="16">
        <f t="shared" si="491"/>
        <v>0</v>
      </c>
      <c r="CN32" s="16">
        <f>IF(CM32&gt;0,CM32,IF(CN30&gt;$O$12,CN24,0))</f>
        <v>0</v>
      </c>
      <c r="CP32" s="16">
        <f>IF(CN32&gt;0,CN32,IF(CP30&gt;$O$12,CP24,0))</f>
        <v>85</v>
      </c>
      <c r="CQ32" s="16">
        <f>IF(CP32&gt;0,CP32,IF(CQ30&gt;$O$12,CQ24,0))</f>
        <v>85</v>
      </c>
      <c r="CR32" s="16">
        <f t="shared" ref="CR32:DA32" si="492">IF(CQ32&gt;0,CQ32,IF(CR30&gt;$O$12,CR24,0))</f>
        <v>85</v>
      </c>
      <c r="CS32" s="16">
        <f t="shared" si="492"/>
        <v>85</v>
      </c>
      <c r="CT32" s="16">
        <f t="shared" si="492"/>
        <v>85</v>
      </c>
      <c r="CU32" s="16">
        <f t="shared" si="492"/>
        <v>85</v>
      </c>
      <c r="CV32" s="16">
        <f t="shared" si="492"/>
        <v>85</v>
      </c>
      <c r="CW32" s="16">
        <f t="shared" si="492"/>
        <v>85</v>
      </c>
      <c r="CX32" s="16">
        <f t="shared" si="492"/>
        <v>85</v>
      </c>
      <c r="CY32" s="16">
        <f>IF(CX32&gt;0,CX32,IF(CY30&gt;$O$12,CY24,0))</f>
        <v>85</v>
      </c>
      <c r="CZ32" s="16">
        <f t="shared" si="492"/>
        <v>85</v>
      </c>
      <c r="DA32" s="16">
        <f t="shared" si="492"/>
        <v>85</v>
      </c>
      <c r="DC32" s="16">
        <f>IF(DA32&gt;0,DA32,IF(DC30&gt;$O$12,DC24,0))</f>
        <v>85</v>
      </c>
      <c r="DD32" s="16">
        <f>IF(DC32&gt;0,DC32,IF(DD30&gt;$O$12,DD24,0))</f>
        <v>85</v>
      </c>
      <c r="DE32" s="16">
        <f t="shared" ref="DE32:DN32" si="493">IF(DD32&gt;0,DD32,IF(DE30&gt;$O$12,DE24,0))</f>
        <v>85</v>
      </c>
      <c r="DF32" s="16">
        <f t="shared" si="493"/>
        <v>85</v>
      </c>
      <c r="DG32" s="16">
        <f t="shared" si="493"/>
        <v>85</v>
      </c>
      <c r="DH32" s="16">
        <f t="shared" si="493"/>
        <v>85</v>
      </c>
      <c r="DI32" s="16">
        <f t="shared" si="493"/>
        <v>85</v>
      </c>
      <c r="DJ32" s="16">
        <f t="shared" si="493"/>
        <v>85</v>
      </c>
      <c r="DK32" s="16">
        <f t="shared" si="493"/>
        <v>85</v>
      </c>
      <c r="DL32" s="16">
        <f t="shared" si="493"/>
        <v>85</v>
      </c>
      <c r="DM32" s="16">
        <f t="shared" si="493"/>
        <v>85</v>
      </c>
      <c r="DN32" s="16">
        <f t="shared" si="493"/>
        <v>85</v>
      </c>
    </row>
    <row r="33" spans="1:47" ht="17">
      <c r="A33" s="376" t="s">
        <v>50</v>
      </c>
      <c r="B33" s="386">
        <f>SUM(B39:L39)</f>
        <v>33248.127680204125</v>
      </c>
      <c r="C33" s="19"/>
      <c r="E33"/>
      <c r="F33"/>
      <c r="G33"/>
      <c r="H33"/>
      <c r="N33" s="19"/>
      <c r="O33" s="19"/>
      <c r="P33" s="19"/>
      <c r="Q33" s="19"/>
      <c r="R33" s="19"/>
      <c r="AQ33"/>
      <c r="AR33"/>
      <c r="AS33"/>
      <c r="AT33"/>
      <c r="AU33"/>
    </row>
    <row r="34" spans="1:47" ht="17">
      <c r="A34" s="376" t="s">
        <v>52</v>
      </c>
      <c r="B34" s="385">
        <f>IRR(B38:L38)</f>
        <v>0.17850707718786318</v>
      </c>
      <c r="C34" s="19" t="s">
        <v>152</v>
      </c>
      <c r="E34"/>
      <c r="F34"/>
      <c r="G34"/>
      <c r="H34"/>
      <c r="N34" s="19"/>
      <c r="O34" s="19"/>
      <c r="P34" s="19"/>
      <c r="Q34" s="19"/>
      <c r="R34" s="19"/>
      <c r="AQ34"/>
      <c r="AR34"/>
      <c r="AS34"/>
      <c r="AT34"/>
      <c r="AU34"/>
    </row>
    <row r="35" spans="1:47" s="24" customFormat="1" ht="17">
      <c r="A35" s="376" t="s">
        <v>50</v>
      </c>
      <c r="B35" s="387"/>
      <c r="C35" s="28"/>
      <c r="D35" s="19"/>
      <c r="E35" s="19"/>
      <c r="I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</row>
    <row r="36" spans="1:47" s="24" customFormat="1" ht="17">
      <c r="A36" s="376" t="s">
        <v>167</v>
      </c>
      <c r="B36" s="388">
        <f>-B33/B39</f>
        <v>0.33926660898167477</v>
      </c>
      <c r="C36" s="393">
        <v>1</v>
      </c>
      <c r="D36" s="393">
        <v>2</v>
      </c>
      <c r="E36" s="393">
        <v>3</v>
      </c>
      <c r="F36" s="393">
        <v>4</v>
      </c>
      <c r="G36" s="392">
        <v>5</v>
      </c>
      <c r="H36" s="392">
        <v>6</v>
      </c>
      <c r="I36" s="392">
        <v>7</v>
      </c>
      <c r="J36" s="392">
        <v>8</v>
      </c>
      <c r="K36" s="392">
        <v>9</v>
      </c>
      <c r="L36" s="190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</row>
    <row r="37" spans="1:47" s="24" customFormat="1">
      <c r="A37" s="379" t="s">
        <v>64</v>
      </c>
      <c r="B37" s="388"/>
      <c r="C37" s="394" t="s">
        <v>69</v>
      </c>
      <c r="D37" s="394" t="s">
        <v>191</v>
      </c>
      <c r="E37" s="394" t="s">
        <v>192</v>
      </c>
      <c r="F37" s="394" t="s">
        <v>168</v>
      </c>
      <c r="G37" s="394" t="s">
        <v>169</v>
      </c>
      <c r="H37" s="394" t="s">
        <v>170</v>
      </c>
      <c r="I37" s="394" t="s">
        <v>193</v>
      </c>
      <c r="J37" s="394" t="s">
        <v>171</v>
      </c>
      <c r="K37" s="394" t="s">
        <v>172</v>
      </c>
      <c r="L37" s="23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</row>
    <row r="38" spans="1:47" s="24" customFormat="1" ht="34">
      <c r="A38" s="376" t="s">
        <v>24</v>
      </c>
      <c r="B38" s="388">
        <f>B29</f>
        <v>-98000</v>
      </c>
      <c r="C38" s="391">
        <f>O8</f>
        <v>-30518.9908</v>
      </c>
      <c r="D38" s="391">
        <f>AB8</f>
        <v>3872.0260344600047</v>
      </c>
      <c r="E38" s="391">
        <f>AO8</f>
        <v>25060.95229259651</v>
      </c>
      <c r="F38" s="391">
        <f>BB8</f>
        <v>37285.847687800524</v>
      </c>
      <c r="G38" s="391">
        <f>ОДД!G10</f>
        <v>50567.549641417558</v>
      </c>
      <c r="H38" s="391">
        <f>ОДД!H10</f>
        <v>51467.969247934219</v>
      </c>
      <c r="I38" s="391">
        <f>ОДД!I10</f>
        <v>53364.189347809173</v>
      </c>
      <c r="J38" s="391">
        <f>ОДД!J10</f>
        <v>55748.854723368044</v>
      </c>
      <c r="K38" s="391">
        <f>ОДД!K10</f>
        <v>57577.140159859613</v>
      </c>
      <c r="L38" s="23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</row>
    <row r="39" spans="1:47" s="24" customFormat="1">
      <c r="A39" s="392" t="s">
        <v>519</v>
      </c>
      <c r="B39" s="390">
        <f>B29</f>
        <v>-98000</v>
      </c>
      <c r="C39" s="391">
        <f>C38/(1+$B$31)^C36</f>
        <v>-27007.956460176993</v>
      </c>
      <c r="D39" s="391">
        <f>D38/(1+$B$31)^D36</f>
        <v>3032.3643468243445</v>
      </c>
      <c r="E39" s="391">
        <f>E38/(1+$B$31)^E36</f>
        <v>17368.497053217605</v>
      </c>
      <c r="F39" s="391">
        <f t="shared" ref="F39:K39" si="494">F38/(1+$B$31)^F36</f>
        <v>22868.108664328851</v>
      </c>
      <c r="G39" s="391">
        <f t="shared" si="494"/>
        <v>27446.040007024734</v>
      </c>
      <c r="H39" s="391">
        <f t="shared" si="494"/>
        <v>24721.01919914192</v>
      </c>
      <c r="I39" s="391">
        <f t="shared" si="494"/>
        <v>22683.016677170781</v>
      </c>
      <c r="J39" s="391">
        <f t="shared" si="494"/>
        <v>20970.481483915904</v>
      </c>
      <c r="K39" s="391">
        <f t="shared" si="494"/>
        <v>19166.556708756973</v>
      </c>
      <c r="L39" s="31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</row>
    <row r="40" spans="1:47" s="24" customFormat="1">
      <c r="A40" s="393" t="s">
        <v>520</v>
      </c>
      <c r="B40" s="393">
        <f>B31</f>
        <v>0.13</v>
      </c>
      <c r="C40" s="391"/>
      <c r="D40" s="391">
        <f>C39+D39</f>
        <v>-23975.59211335265</v>
      </c>
      <c r="E40" s="391">
        <f>D40+E39</f>
        <v>-6607.0950601350451</v>
      </c>
      <c r="F40" s="391">
        <f t="shared" ref="F40:K40" si="495">E40+F39</f>
        <v>16261.013604193806</v>
      </c>
      <c r="G40" s="391">
        <f t="shared" si="495"/>
        <v>43707.053611218536</v>
      </c>
      <c r="H40" s="391">
        <f t="shared" si="495"/>
        <v>68428.072810360463</v>
      </c>
      <c r="I40" s="391">
        <f t="shared" si="495"/>
        <v>91111.089487531252</v>
      </c>
      <c r="J40" s="391">
        <f t="shared" si="495"/>
        <v>112081.57097144716</v>
      </c>
      <c r="K40" s="391">
        <f t="shared" si="495"/>
        <v>131248.12768020414</v>
      </c>
      <c r="L40" s="23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</row>
    <row r="41" spans="1:47" s="24" customFormat="1">
      <c r="A41" s="20"/>
      <c r="B41" s="50"/>
      <c r="C41" s="20"/>
      <c r="D41" s="20"/>
      <c r="E41" s="15"/>
      <c r="F41" s="15"/>
      <c r="G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</row>
    <row r="42" spans="1:47" s="24" customFormat="1">
      <c r="A42" s="380" t="s">
        <v>111</v>
      </c>
      <c r="B42" s="381">
        <f>SUM(C39:L39)/10/-B29</f>
        <v>0.13392666089816749</v>
      </c>
      <c r="D42" s="20"/>
      <c r="E42" s="15"/>
      <c r="F42" s="15"/>
      <c r="G42" s="15"/>
      <c r="H42" s="15"/>
      <c r="I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</row>
    <row r="43" spans="1:47" s="24" customFormat="1">
      <c r="A43" s="380" t="s">
        <v>112</v>
      </c>
      <c r="B43" s="381">
        <f>MIRR(B38:L38,B40,B40)</f>
        <v>0.16000203234313792</v>
      </c>
      <c r="C43" s="20"/>
      <c r="D43" s="20"/>
      <c r="E43" s="15"/>
      <c r="F43" s="15"/>
      <c r="G43" s="15"/>
      <c r="H43" s="15"/>
      <c r="I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</row>
    <row r="44" spans="1:47" s="24" customFormat="1">
      <c r="A44" s="19"/>
      <c r="B44" s="87"/>
      <c r="C44"/>
      <c r="D44"/>
      <c r="E44"/>
      <c r="F44"/>
      <c r="G44"/>
      <c r="H44"/>
      <c r="I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</row>
    <row r="45" spans="1:47" s="24" customFormat="1">
      <c r="A45" s="19"/>
      <c r="B45" s="19"/>
      <c r="C45"/>
      <c r="D45"/>
      <c r="E45"/>
      <c r="F45"/>
      <c r="G45"/>
      <c r="H45"/>
      <c r="I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</row>
  </sheetData>
  <mergeCells count="1">
    <mergeCell ref="A1:C1"/>
  </mergeCells>
  <phoneticPr fontId="41" type="noConversion"/>
  <pageMargins left="0.7" right="0.7" top="0.75" bottom="0.75" header="0.3" footer="0.3"/>
  <pageSetup paperSize="9"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Исходные</vt:lpstr>
      <vt:lpstr>прогнозные показатели</vt:lpstr>
      <vt:lpstr>Устойчивость </vt:lpstr>
      <vt:lpstr>Анализ безубыточности</vt:lpstr>
      <vt:lpstr>Расчет ЗП</vt:lpstr>
      <vt:lpstr>отчет о прибылях и убытках</vt:lpstr>
      <vt:lpstr>ОДД</vt:lpstr>
      <vt:lpstr>Финансовые показатели </vt:lpstr>
      <vt:lpstr>Отчет о движении денежных средс</vt:lpstr>
      <vt:lpstr>Расчет БГ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Арина</dc:creator>
  <cp:lastModifiedBy>Microsoft Office User</cp:lastModifiedBy>
  <cp:lastPrinted>2020-04-19T04:40:27Z</cp:lastPrinted>
  <dcterms:created xsi:type="dcterms:W3CDTF">2019-07-06T05:38:57Z</dcterms:created>
  <dcterms:modified xsi:type="dcterms:W3CDTF">2021-03-20T04:10:20Z</dcterms:modified>
</cp:coreProperties>
</file>