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fileSharing readOnlyRecommended="1" userName="Microsoft Office User" algorithmName="SHA-512" hashValue="0yWo1uo3/o1zbKldnaTkga3zY8RHmNwyrk1MImAbEvFXGDQ7L4xL/dY7S7BRIc52rX+rbQbXQx6klOGhNAA3mw==" saltValue="dDRUzLuzr+XnlclIspmgJA==" spinCount="100000"/>
  <workbookPr filterPrivacy="1" autoCompressPictures="0"/>
  <xr:revisionPtr revIDLastSave="0" documentId="13_ncr:1_{8014A043-A5DC-7A41-9FB2-1D4B0D3DFA2B}" xr6:coauthVersionLast="45" xr6:coauthVersionMax="45" xr10:uidLastSave="{00000000-0000-0000-0000-000000000000}"/>
  <bookViews>
    <workbookView xWindow="8560" yWindow="620" windowWidth="29400" windowHeight="18160" xr2:uid="{00000000-000D-0000-FFFF-FFFF00000000}"/>
  </bookViews>
  <sheets>
    <sheet name="Содержание" sheetId="13" r:id="rId1"/>
    <sheet name="Revenue&amp;costs услуга" sheetId="1" r:id="rId2"/>
    <sheet name="Total услуга" sheetId="3" r:id="rId3"/>
    <sheet name="КПуслуга" sheetId="11" r:id="rId4"/>
    <sheet name="Компл" sheetId="14" r:id="rId5"/>
    <sheet name="СКпроизв" sheetId="4" r:id="rId6"/>
    <sheet name="КПпроизв" sheetId="7" r:id="rId7"/>
    <sheet name="План производства" sheetId="5" r:id="rId8"/>
    <sheet name="Движение ОС" sheetId="12" r:id="rId9"/>
    <sheet name="Ден поток" sheetId="9" r:id="rId10"/>
    <sheet name="Индексы Инв" sheetId="10" r:id="rId11"/>
    <sheet name="Кадры, ставки ЗП" sheetId="8" r:id="rId12"/>
  </sheets>
  <externalReferences>
    <externalReference r:id="rId13"/>
  </externalReferences>
  <definedNames>
    <definedName name="NameOfPeriod">[1]Допущения!$F$10:$AT$10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8" i="9" l="1"/>
  <c r="C167" i="9"/>
  <c r="C169" i="9"/>
  <c r="D169" i="9" s="1"/>
  <c r="D167" i="9"/>
  <c r="D171" i="9"/>
  <c r="D172" i="9"/>
  <c r="D174" i="9"/>
  <c r="C175" i="9"/>
  <c r="D175" i="9" s="1"/>
  <c r="C174" i="9"/>
  <c r="C173" i="9"/>
  <c r="D173" i="9" s="1"/>
  <c r="C172" i="9"/>
  <c r="C171" i="9"/>
  <c r="C170" i="9"/>
  <c r="D170" i="9" s="1"/>
  <c r="F158" i="9" l="1"/>
  <c r="G158" i="9" s="1"/>
  <c r="F157" i="9"/>
  <c r="G157" i="9" s="1"/>
  <c r="F156" i="9"/>
  <c r="G156" i="9" s="1"/>
  <c r="G6" i="4"/>
  <c r="F11" i="9"/>
  <c r="G10" i="4"/>
  <c r="G83" i="12"/>
  <c r="G68" i="12"/>
  <c r="F68" i="12"/>
  <c r="E70" i="12"/>
  <c r="G34" i="12"/>
  <c r="G18" i="12"/>
  <c r="G87" i="12"/>
  <c r="G43" i="12"/>
  <c r="N9" i="9"/>
  <c r="M9" i="9"/>
  <c r="L9" i="9"/>
  <c r="J9" i="9"/>
  <c r="I9" i="9"/>
  <c r="H9" i="9"/>
  <c r="G9" i="9"/>
  <c r="F9" i="9"/>
  <c r="E9" i="9"/>
  <c r="G91" i="12"/>
  <c r="G79" i="12"/>
  <c r="F69" i="12"/>
  <c r="G69" i="12"/>
  <c r="I22" i="12"/>
  <c r="G13" i="12"/>
  <c r="E10" i="4"/>
  <c r="E11" i="4"/>
  <c r="H13" i="4"/>
  <c r="F13" i="4"/>
  <c r="H15" i="4"/>
  <c r="F15" i="4"/>
  <c r="D15" i="4"/>
  <c r="H14" i="4"/>
  <c r="F14" i="4"/>
  <c r="D14" i="4"/>
  <c r="D13" i="4"/>
  <c r="F7" i="4"/>
  <c r="D7" i="4"/>
  <c r="E6" i="4"/>
  <c r="C6" i="4"/>
  <c r="C17" i="4" s="1"/>
  <c r="D38" i="4"/>
  <c r="G37" i="4"/>
  <c r="E37" i="4"/>
  <c r="C37" i="4"/>
  <c r="Z54" i="14"/>
  <c r="W54" i="14"/>
  <c r="N45" i="14"/>
  <c r="K45" i="14"/>
  <c r="H45" i="14"/>
  <c r="N43" i="14"/>
  <c r="K43" i="14"/>
  <c r="H43" i="14"/>
  <c r="N41" i="14"/>
  <c r="M41" i="14"/>
  <c r="J41" i="14"/>
  <c r="K41" i="14" s="1"/>
  <c r="G41" i="14"/>
  <c r="H41" i="14" s="1"/>
  <c r="N40" i="14"/>
  <c r="M39" i="14"/>
  <c r="N39" i="14" s="1"/>
  <c r="J39" i="14"/>
  <c r="K39" i="14" s="1"/>
  <c r="G39" i="14"/>
  <c r="H39" i="14" s="1"/>
  <c r="M38" i="14"/>
  <c r="N38" i="14" s="1"/>
  <c r="J38" i="14"/>
  <c r="K38" i="14" s="1"/>
  <c r="G38" i="14"/>
  <c r="H38" i="14" s="1"/>
  <c r="M36" i="14"/>
  <c r="N36" i="14" s="1"/>
  <c r="J36" i="14"/>
  <c r="K36" i="14" s="1"/>
  <c r="G36" i="14"/>
  <c r="H36" i="14" s="1"/>
  <c r="N35" i="14"/>
  <c r="K35" i="14"/>
  <c r="H35" i="14"/>
  <c r="M34" i="14"/>
  <c r="N34" i="14" s="1"/>
  <c r="J34" i="14"/>
  <c r="K34" i="14" s="1"/>
  <c r="H34" i="14"/>
  <c r="G34" i="14"/>
  <c r="M33" i="14"/>
  <c r="N33" i="14" s="1"/>
  <c r="J33" i="14"/>
  <c r="K33" i="14" s="1"/>
  <c r="G33" i="14"/>
  <c r="H33" i="14" s="1"/>
  <c r="N32" i="14"/>
  <c r="M32" i="14"/>
  <c r="J32" i="14"/>
  <c r="K32" i="14" s="1"/>
  <c r="G32" i="14"/>
  <c r="H32" i="14" s="1"/>
  <c r="M31" i="14"/>
  <c r="N31" i="14" s="1"/>
  <c r="K31" i="14"/>
  <c r="J31" i="14"/>
  <c r="G31" i="14"/>
  <c r="H31" i="14" s="1"/>
  <c r="M29" i="14"/>
  <c r="N29" i="14" s="1"/>
  <c r="J29" i="14"/>
  <c r="K29" i="14" s="1"/>
  <c r="H29" i="14"/>
  <c r="G29" i="14"/>
  <c r="M28" i="14"/>
  <c r="N28" i="14" s="1"/>
  <c r="J28" i="14"/>
  <c r="K28" i="14" s="1"/>
  <c r="G28" i="14"/>
  <c r="H28" i="14" s="1"/>
  <c r="N26" i="14"/>
  <c r="M26" i="14"/>
  <c r="J26" i="14"/>
  <c r="K26" i="14" s="1"/>
  <c r="G26" i="14"/>
  <c r="H26" i="14" s="1"/>
  <c r="M25" i="14"/>
  <c r="N25" i="14" s="1"/>
  <c r="K25" i="14"/>
  <c r="J25" i="14"/>
  <c r="G25" i="14"/>
  <c r="H25" i="14" s="1"/>
  <c r="M24" i="14"/>
  <c r="N24" i="14" s="1"/>
  <c r="J24" i="14"/>
  <c r="K24" i="14" s="1"/>
  <c r="H24" i="14"/>
  <c r="G24" i="14"/>
  <c r="M23" i="14"/>
  <c r="N23" i="14" s="1"/>
  <c r="J23" i="14"/>
  <c r="K23" i="14" s="1"/>
  <c r="G23" i="14"/>
  <c r="H23" i="14" s="1"/>
  <c r="N22" i="14"/>
  <c r="M22" i="14"/>
  <c r="J22" i="14"/>
  <c r="K22" i="14" s="1"/>
  <c r="G22" i="14"/>
  <c r="H22" i="14" s="1"/>
  <c r="M21" i="14"/>
  <c r="N21" i="14" s="1"/>
  <c r="K21" i="14"/>
  <c r="J21" i="14"/>
  <c r="G21" i="14"/>
  <c r="H21" i="14" s="1"/>
  <c r="M19" i="14"/>
  <c r="N19" i="14" s="1"/>
  <c r="J19" i="14"/>
  <c r="K19" i="14" s="1"/>
  <c r="H19" i="14"/>
  <c r="G19" i="14"/>
  <c r="M18" i="14"/>
  <c r="N18" i="14" s="1"/>
  <c r="J18" i="14"/>
  <c r="K18" i="14" s="1"/>
  <c r="G18" i="14"/>
  <c r="H18" i="14" s="1"/>
  <c r="N17" i="14"/>
  <c r="M17" i="14"/>
  <c r="J17" i="14"/>
  <c r="K17" i="14" s="1"/>
  <c r="G17" i="14"/>
  <c r="H17" i="14" s="1"/>
  <c r="M16" i="14"/>
  <c r="N16" i="14" s="1"/>
  <c r="K16" i="14"/>
  <c r="J16" i="14"/>
  <c r="G16" i="14"/>
  <c r="H16" i="14" s="1"/>
  <c r="M15" i="14"/>
  <c r="N15" i="14" s="1"/>
  <c r="J15" i="14"/>
  <c r="K15" i="14" s="1"/>
  <c r="H15" i="14"/>
  <c r="G15" i="14"/>
  <c r="M14" i="14"/>
  <c r="N14" i="14" s="1"/>
  <c r="J14" i="14"/>
  <c r="K14" i="14" s="1"/>
  <c r="G14" i="14"/>
  <c r="H14" i="14" s="1"/>
  <c r="N13" i="14"/>
  <c r="M13" i="14"/>
  <c r="J13" i="14"/>
  <c r="K13" i="14" s="1"/>
  <c r="G13" i="14"/>
  <c r="H13" i="14" s="1"/>
  <c r="H46" i="14" s="1"/>
  <c r="H47" i="14" s="1"/>
  <c r="H48" i="14" s="1"/>
  <c r="H49" i="14" s="1"/>
  <c r="H50" i="14" s="1"/>
  <c r="E17" i="4" l="1"/>
  <c r="N46" i="14"/>
  <c r="N47" i="14" s="1"/>
  <c r="N48" i="14" s="1"/>
  <c r="N49" i="14" s="1"/>
  <c r="N50" i="14" s="1"/>
  <c r="K46" i="14"/>
  <c r="K47" i="14" s="1"/>
  <c r="K48" i="14" s="1"/>
  <c r="K49" i="14" s="1"/>
  <c r="K50" i="14" s="1"/>
  <c r="H44" i="4" l="1"/>
  <c r="F44" i="4"/>
  <c r="D44" i="4"/>
  <c r="H43" i="4"/>
  <c r="F43" i="4"/>
  <c r="D43" i="4"/>
  <c r="H41" i="4"/>
  <c r="F41" i="4"/>
  <c r="D41" i="4"/>
  <c r="H38" i="4"/>
  <c r="F38" i="4"/>
  <c r="H37" i="4"/>
  <c r="F37" i="4"/>
  <c r="D37" i="4"/>
  <c r="D39" i="4" s="1"/>
  <c r="H46" i="4" l="1"/>
  <c r="G46" i="4" s="1"/>
  <c r="G48" i="4" s="1"/>
  <c r="F46" i="4"/>
  <c r="D46" i="4"/>
  <c r="C46" i="4" s="1"/>
  <c r="C48" i="4" s="1"/>
  <c r="E46" i="4" l="1"/>
  <c r="E48" i="4" s="1"/>
  <c r="F48" i="4"/>
  <c r="D48" i="4"/>
  <c r="H48" i="4"/>
  <c r="E16" i="12" l="1"/>
  <c r="C22" i="12"/>
  <c r="D22" i="12"/>
  <c r="C64" i="7"/>
  <c r="D64" i="7"/>
  <c r="E64" i="7"/>
  <c r="F64" i="7"/>
  <c r="G64" i="7"/>
  <c r="H64" i="7"/>
  <c r="I64" i="7"/>
  <c r="J64" i="7"/>
  <c r="K64" i="7"/>
  <c r="L64" i="7"/>
  <c r="M64" i="7"/>
  <c r="C43" i="7"/>
  <c r="D43" i="7"/>
  <c r="E43" i="7"/>
  <c r="F43" i="7"/>
  <c r="G43" i="7"/>
  <c r="H43" i="7"/>
  <c r="I43" i="7"/>
  <c r="J43" i="7"/>
  <c r="K43" i="7"/>
  <c r="L43" i="7"/>
  <c r="M43" i="7"/>
  <c r="F22" i="7"/>
  <c r="G22" i="7"/>
  <c r="H22" i="7"/>
  <c r="I22" i="7"/>
  <c r="J22" i="7"/>
  <c r="K22" i="7"/>
  <c r="L22" i="7"/>
  <c r="M22" i="7"/>
  <c r="D22" i="7"/>
  <c r="E22" i="7"/>
  <c r="C22" i="7"/>
  <c r="B41" i="11"/>
  <c r="C21" i="11"/>
  <c r="D21" i="11"/>
  <c r="E21" i="11"/>
  <c r="F21" i="11"/>
  <c r="G21" i="11"/>
  <c r="H21" i="11"/>
  <c r="I21" i="11"/>
  <c r="J21" i="11"/>
  <c r="K21" i="11"/>
  <c r="L21" i="11"/>
  <c r="M21" i="11"/>
  <c r="B22" i="7"/>
  <c r="B21" i="11"/>
  <c r="B43" i="7"/>
  <c r="B64" i="7"/>
  <c r="C61" i="11"/>
  <c r="D61" i="11"/>
  <c r="E61" i="11"/>
  <c r="F61" i="11"/>
  <c r="G61" i="11"/>
  <c r="H61" i="11"/>
  <c r="I61" i="11"/>
  <c r="J61" i="11"/>
  <c r="K61" i="11"/>
  <c r="L61" i="11"/>
  <c r="M61" i="11"/>
  <c r="N9" i="7"/>
  <c r="N30" i="7"/>
  <c r="N51" i="7"/>
  <c r="A51" i="7"/>
  <c r="A11" i="7"/>
  <c r="A13" i="7"/>
  <c r="A12" i="7"/>
  <c r="A10" i="7"/>
  <c r="A30" i="7"/>
  <c r="A9" i="7"/>
  <c r="A8" i="7"/>
  <c r="H26" i="1"/>
  <c r="H25" i="1"/>
  <c r="H21" i="1"/>
  <c r="H20" i="1"/>
  <c r="G27" i="1"/>
  <c r="G22" i="1"/>
  <c r="K27" i="1"/>
  <c r="J27" i="1"/>
  <c r="I27" i="1"/>
  <c r="K22" i="1"/>
  <c r="J22" i="1"/>
  <c r="I22" i="1"/>
  <c r="K17" i="1"/>
  <c r="J17" i="1"/>
  <c r="G17" i="1"/>
  <c r="K7" i="1"/>
  <c r="J7" i="1"/>
  <c r="I7" i="1"/>
  <c r="G7" i="1"/>
  <c r="K12" i="1"/>
  <c r="J12" i="1"/>
  <c r="I12" i="1"/>
  <c r="G12" i="1"/>
  <c r="D9" i="9" l="1"/>
  <c r="D16" i="10"/>
  <c r="D44" i="10" s="1"/>
  <c r="D15" i="10"/>
  <c r="D43" i="10" s="1"/>
  <c r="D14" i="10"/>
  <c r="D42" i="10" s="1"/>
  <c r="D14" i="3" l="1"/>
  <c r="F13" i="3"/>
  <c r="H13" i="3" s="1"/>
  <c r="E13" i="3"/>
  <c r="D13" i="3"/>
  <c r="F12" i="3"/>
  <c r="G12" i="3" s="1"/>
  <c r="H12" i="3" s="1"/>
  <c r="E12" i="3"/>
  <c r="D12" i="3"/>
  <c r="Z88" i="9"/>
  <c r="Z87" i="9"/>
  <c r="G13" i="3" l="1"/>
  <c r="AC75" i="9" l="1"/>
  <c r="D13" i="10" s="1"/>
  <c r="D41" i="10" s="1"/>
  <c r="D71" i="9" l="1"/>
  <c r="E71" i="9"/>
  <c r="H71" i="9"/>
  <c r="I71" i="9"/>
  <c r="J71" i="9"/>
  <c r="K71" i="9"/>
  <c r="L71" i="9"/>
  <c r="M71" i="9"/>
  <c r="N71" i="9"/>
  <c r="C71" i="9"/>
  <c r="F70" i="9"/>
  <c r="G70" i="9"/>
  <c r="H70" i="9"/>
  <c r="I70" i="9"/>
  <c r="J70" i="9"/>
  <c r="K70" i="9"/>
  <c r="L70" i="9"/>
  <c r="M70" i="9"/>
  <c r="N70" i="9"/>
  <c r="J69" i="9"/>
  <c r="M69" i="9"/>
  <c r="N69" i="9"/>
  <c r="D63" i="9"/>
  <c r="E63" i="9"/>
  <c r="H63" i="9"/>
  <c r="I63" i="9"/>
  <c r="J63" i="9"/>
  <c r="L63" i="9"/>
  <c r="M63" i="9"/>
  <c r="N63" i="9"/>
  <c r="C63" i="9"/>
  <c r="F62" i="9"/>
  <c r="G62" i="9"/>
  <c r="H62" i="9"/>
  <c r="I62" i="9"/>
  <c r="J62" i="9"/>
  <c r="K62" i="9"/>
  <c r="L62" i="9"/>
  <c r="M62" i="9"/>
  <c r="N62" i="9"/>
  <c r="C62" i="9"/>
  <c r="D61" i="9"/>
  <c r="H61" i="9"/>
  <c r="I61" i="9"/>
  <c r="J61" i="9"/>
  <c r="K61" i="9"/>
  <c r="L61" i="9"/>
  <c r="M61" i="9"/>
  <c r="N61" i="9"/>
  <c r="C61" i="9"/>
  <c r="L110" i="12"/>
  <c r="O110" i="12"/>
  <c r="P110" i="12"/>
  <c r="L63" i="12"/>
  <c r="E56" i="12"/>
  <c r="F56" i="12"/>
  <c r="G56" i="12"/>
  <c r="H56" i="12"/>
  <c r="F63" i="9" s="1"/>
  <c r="I56" i="12"/>
  <c r="G63" i="9" s="1"/>
  <c r="J56" i="12"/>
  <c r="K56" i="12"/>
  <c r="L56" i="12"/>
  <c r="M56" i="12"/>
  <c r="K63" i="9" s="1"/>
  <c r="N56" i="12"/>
  <c r="O56" i="12"/>
  <c r="P56" i="12"/>
  <c r="F104" i="12"/>
  <c r="G104" i="12"/>
  <c r="H104" i="12"/>
  <c r="F71" i="9" s="1"/>
  <c r="I104" i="12"/>
  <c r="G71" i="9" s="1"/>
  <c r="J104" i="12"/>
  <c r="K104" i="12"/>
  <c r="L104" i="12"/>
  <c r="M104" i="12"/>
  <c r="N104" i="12"/>
  <c r="O104" i="12"/>
  <c r="P104" i="12"/>
  <c r="E104" i="12"/>
  <c r="H73" i="12"/>
  <c r="J73" i="12"/>
  <c r="K73" i="12"/>
  <c r="L73" i="12"/>
  <c r="N73" i="12"/>
  <c r="O73" i="12"/>
  <c r="P73" i="12"/>
  <c r="L65" i="12"/>
  <c r="O65" i="12"/>
  <c r="P65" i="12"/>
  <c r="N69" i="12"/>
  <c r="N68" i="12"/>
  <c r="J69" i="12"/>
  <c r="J68" i="12"/>
  <c r="D99" i="12"/>
  <c r="I99" i="12" s="1"/>
  <c r="D95" i="12"/>
  <c r="G95" i="12" s="1"/>
  <c r="D91" i="12"/>
  <c r="D87" i="12"/>
  <c r="I87" i="12" s="1"/>
  <c r="D83" i="12"/>
  <c r="F73" i="12" s="1"/>
  <c r="D70" i="9" s="1"/>
  <c r="D79" i="12"/>
  <c r="D75" i="12"/>
  <c r="E75" i="12" s="1"/>
  <c r="M70" i="12"/>
  <c r="M65" i="12" s="1"/>
  <c r="K69" i="9" s="1"/>
  <c r="K70" i="12"/>
  <c r="K65" i="12" s="1"/>
  <c r="I69" i="9" s="1"/>
  <c r="I70" i="12"/>
  <c r="I65" i="12" s="1"/>
  <c r="G69" i="9" s="1"/>
  <c r="H70" i="12"/>
  <c r="H65" i="12" s="1"/>
  <c r="F69" i="9" s="1"/>
  <c r="G70" i="12"/>
  <c r="E65" i="12"/>
  <c r="C69" i="9" s="1"/>
  <c r="G67" i="12"/>
  <c r="G65" i="12" s="1"/>
  <c r="E69" i="9" s="1"/>
  <c r="H16" i="12"/>
  <c r="J16" i="12"/>
  <c r="K16" i="12"/>
  <c r="L16" i="12"/>
  <c r="N16" i="12"/>
  <c r="O16" i="12"/>
  <c r="P16" i="12"/>
  <c r="P63" i="12" s="1"/>
  <c r="F9" i="12"/>
  <c r="H9" i="12"/>
  <c r="F61" i="9" s="1"/>
  <c r="J9" i="12"/>
  <c r="J63" i="12" s="1"/>
  <c r="K9" i="12"/>
  <c r="K63" i="12" s="1"/>
  <c r="L9" i="12"/>
  <c r="M9" i="12"/>
  <c r="N9" i="12"/>
  <c r="N63" i="12" s="1"/>
  <c r="O9" i="12"/>
  <c r="O63" i="12" s="1"/>
  <c r="P9" i="12"/>
  <c r="I12" i="12"/>
  <c r="I11" i="12"/>
  <c r="I9" i="12" s="1"/>
  <c r="G61" i="9" s="1"/>
  <c r="E13" i="12"/>
  <c r="E9" i="12" s="1"/>
  <c r="E63" i="12" s="1"/>
  <c r="G12" i="12"/>
  <c r="G11" i="12"/>
  <c r="G9" i="12" s="1"/>
  <c r="E61" i="9" s="1"/>
  <c r="C99" i="12"/>
  <c r="C95" i="12"/>
  <c r="C91" i="12"/>
  <c r="D51" i="12"/>
  <c r="I51" i="12" s="1"/>
  <c r="D47" i="12"/>
  <c r="D43" i="12"/>
  <c r="D34" i="12"/>
  <c r="D26" i="12"/>
  <c r="D18" i="12"/>
  <c r="C47" i="12"/>
  <c r="C43" i="12"/>
  <c r="C83" i="12"/>
  <c r="C79" i="12"/>
  <c r="C75" i="12"/>
  <c r="C34" i="12"/>
  <c r="C26" i="12"/>
  <c r="C18" i="12"/>
  <c r="Z33" i="9"/>
  <c r="Z34" i="9"/>
  <c r="Z35" i="9"/>
  <c r="Z36" i="9"/>
  <c r="Z38" i="9"/>
  <c r="Z39" i="9"/>
  <c r="Z40" i="9"/>
  <c r="Z41" i="9"/>
  <c r="Z42" i="9"/>
  <c r="Z43" i="9"/>
  <c r="Z44" i="9"/>
  <c r="Z12" i="9"/>
  <c r="Z13" i="9"/>
  <c r="Z14" i="9"/>
  <c r="Z16" i="9"/>
  <c r="Z17" i="9"/>
  <c r="Z18" i="9"/>
  <c r="Z19" i="9"/>
  <c r="Z20" i="9"/>
  <c r="Z21" i="9"/>
  <c r="K110" i="12" l="1"/>
  <c r="M110" i="12"/>
  <c r="I110" i="12"/>
  <c r="H110" i="12"/>
  <c r="H63" i="12"/>
  <c r="M63" i="12"/>
  <c r="J65" i="12"/>
  <c r="G47" i="12"/>
  <c r="I47" i="12"/>
  <c r="F65" i="12"/>
  <c r="N65" i="12"/>
  <c r="I73" i="12"/>
  <c r="I16" i="12"/>
  <c r="I63" i="12" s="1"/>
  <c r="F16" i="12"/>
  <c r="E73" i="12"/>
  <c r="M51" i="12"/>
  <c r="M16" i="12" s="1"/>
  <c r="G51" i="12"/>
  <c r="G26" i="12"/>
  <c r="G73" i="12"/>
  <c r="E70" i="9" s="1"/>
  <c r="M87" i="12"/>
  <c r="M83" i="12"/>
  <c r="O97" i="9"/>
  <c r="P97" i="9"/>
  <c r="Q97" i="9"/>
  <c r="R97" i="9"/>
  <c r="S97" i="9"/>
  <c r="T97" i="9"/>
  <c r="U97" i="9"/>
  <c r="V97" i="9"/>
  <c r="W97" i="9"/>
  <c r="X97" i="9"/>
  <c r="O98" i="9"/>
  <c r="P98" i="9"/>
  <c r="Q98" i="9"/>
  <c r="R98" i="9"/>
  <c r="S98" i="9"/>
  <c r="T98" i="9"/>
  <c r="U98" i="9"/>
  <c r="V98" i="9"/>
  <c r="W98" i="9"/>
  <c r="X98" i="9"/>
  <c r="I21" i="1"/>
  <c r="I26" i="1"/>
  <c r="I16" i="1"/>
  <c r="I17" i="1" s="1"/>
  <c r="I11" i="1"/>
  <c r="I6" i="1"/>
  <c r="F56" i="9"/>
  <c r="F45" i="9" s="1"/>
  <c r="D15" i="3" s="1"/>
  <c r="J56" i="9"/>
  <c r="I56" i="9"/>
  <c r="H56" i="9"/>
  <c r="H45" i="9" s="1"/>
  <c r="G56" i="9"/>
  <c r="E56" i="9"/>
  <c r="H37" i="9"/>
  <c r="I37" i="9"/>
  <c r="J37" i="9"/>
  <c r="K37" i="9"/>
  <c r="F14" i="3" s="1"/>
  <c r="L37" i="9"/>
  <c r="M37" i="9"/>
  <c r="N37" i="9"/>
  <c r="G37" i="9"/>
  <c r="C62" i="11"/>
  <c r="D60" i="11"/>
  <c r="F62" i="11"/>
  <c r="G62" i="11"/>
  <c r="H60" i="11"/>
  <c r="J62" i="11"/>
  <c r="K62" i="11"/>
  <c r="L60" i="11"/>
  <c r="M60" i="11"/>
  <c r="B61" i="11"/>
  <c r="B62" i="11" s="1"/>
  <c r="C41" i="11"/>
  <c r="C42" i="11" s="1"/>
  <c r="D41" i="11"/>
  <c r="E41" i="11"/>
  <c r="E40" i="11" s="1"/>
  <c r="F41" i="11"/>
  <c r="F40" i="11" s="1"/>
  <c r="G41" i="11"/>
  <c r="G42" i="11" s="1"/>
  <c r="H41" i="11"/>
  <c r="H42" i="11" s="1"/>
  <c r="I41" i="11"/>
  <c r="I42" i="11" s="1"/>
  <c r="J41" i="11"/>
  <c r="J40" i="11" s="1"/>
  <c r="K41" i="11"/>
  <c r="K42" i="11" s="1"/>
  <c r="L41" i="11"/>
  <c r="M41" i="11"/>
  <c r="M42" i="11" s="1"/>
  <c r="B40" i="11"/>
  <c r="C22" i="11"/>
  <c r="E22" i="11"/>
  <c r="H20" i="11"/>
  <c r="I22" i="11"/>
  <c r="J22" i="11"/>
  <c r="K22" i="11"/>
  <c r="L20" i="11"/>
  <c r="M22" i="11"/>
  <c r="C31" i="9"/>
  <c r="N54" i="11"/>
  <c r="N55" i="11"/>
  <c r="N14" i="11"/>
  <c r="N15" i="11"/>
  <c r="N34" i="11"/>
  <c r="N35" i="11"/>
  <c r="A32" i="11"/>
  <c r="A52" i="11" s="1"/>
  <c r="A34" i="11"/>
  <c r="A54" i="11" s="1"/>
  <c r="A15" i="11"/>
  <c r="A35" i="11" s="1"/>
  <c r="A55" i="11" s="1"/>
  <c r="A14" i="11"/>
  <c r="A13" i="11"/>
  <c r="A33" i="11" s="1"/>
  <c r="A53" i="11" s="1"/>
  <c r="A12" i="11"/>
  <c r="A11" i="11"/>
  <c r="A31" i="11" s="1"/>
  <c r="A51" i="11" s="1"/>
  <c r="A10" i="11"/>
  <c r="A30" i="11" s="1"/>
  <c r="A50" i="11" s="1"/>
  <c r="A9" i="11"/>
  <c r="A29" i="11" s="1"/>
  <c r="A49" i="11" s="1"/>
  <c r="A8" i="11"/>
  <c r="A28" i="11" s="1"/>
  <c r="A48" i="11" s="1"/>
  <c r="M62" i="11"/>
  <c r="M56" i="11"/>
  <c r="M58" i="11" s="1"/>
  <c r="L56" i="11"/>
  <c r="L58" i="11" s="1"/>
  <c r="K56" i="11"/>
  <c r="K58" i="11" s="1"/>
  <c r="J56" i="11"/>
  <c r="J58" i="11" s="1"/>
  <c r="I56" i="11"/>
  <c r="I58" i="11" s="1"/>
  <c r="H56" i="11"/>
  <c r="H58" i="11" s="1"/>
  <c r="G56" i="11"/>
  <c r="G58" i="11" s="1"/>
  <c r="F56" i="11"/>
  <c r="F58" i="11" s="1"/>
  <c r="E56" i="11"/>
  <c r="E58" i="11" s="1"/>
  <c r="D56" i="11"/>
  <c r="D58" i="11" s="1"/>
  <c r="C56" i="11"/>
  <c r="C58" i="11" s="1"/>
  <c r="B56" i="11"/>
  <c r="N53" i="11"/>
  <c r="N52" i="11"/>
  <c r="N51" i="11"/>
  <c r="N50" i="11"/>
  <c r="N49" i="11"/>
  <c r="N48" i="11"/>
  <c r="L42" i="11"/>
  <c r="D42" i="11"/>
  <c r="L40" i="11"/>
  <c r="M36" i="11"/>
  <c r="M38" i="11" s="1"/>
  <c r="L36" i="11"/>
  <c r="L38" i="11" s="1"/>
  <c r="K36" i="11"/>
  <c r="K38" i="11" s="1"/>
  <c r="J36" i="11"/>
  <c r="J38" i="11" s="1"/>
  <c r="I36" i="11"/>
  <c r="I38" i="11" s="1"/>
  <c r="H36" i="11"/>
  <c r="H38" i="11" s="1"/>
  <c r="G36" i="11"/>
  <c r="G38" i="11" s="1"/>
  <c r="F36" i="11"/>
  <c r="F38" i="11" s="1"/>
  <c r="E36" i="11"/>
  <c r="E38" i="11" s="1"/>
  <c r="D36" i="11"/>
  <c r="D38" i="11" s="1"/>
  <c r="C36" i="11"/>
  <c r="C38" i="11" s="1"/>
  <c r="B36" i="11"/>
  <c r="B38" i="11" s="1"/>
  <c r="N33" i="11"/>
  <c r="N32" i="11"/>
  <c r="N31" i="11"/>
  <c r="N30" i="11"/>
  <c r="N29" i="11"/>
  <c r="N28" i="11"/>
  <c r="G22" i="11"/>
  <c r="F22" i="11"/>
  <c r="D20" i="11"/>
  <c r="M16" i="11"/>
  <c r="M18" i="11" s="1"/>
  <c r="L16" i="11"/>
  <c r="L18" i="11" s="1"/>
  <c r="K16" i="11"/>
  <c r="K18" i="11" s="1"/>
  <c r="J16" i="11"/>
  <c r="J18" i="11" s="1"/>
  <c r="I16" i="11"/>
  <c r="I18" i="11" s="1"/>
  <c r="H16" i="11"/>
  <c r="H18" i="11" s="1"/>
  <c r="G16" i="11"/>
  <c r="G18" i="11" s="1"/>
  <c r="F16" i="11"/>
  <c r="F18" i="11" s="1"/>
  <c r="E16" i="11"/>
  <c r="E18" i="11" s="1"/>
  <c r="D16" i="11"/>
  <c r="D18" i="11" s="1"/>
  <c r="C16" i="11"/>
  <c r="C18" i="11" s="1"/>
  <c r="B16" i="11"/>
  <c r="N13" i="11"/>
  <c r="N12" i="11"/>
  <c r="N11" i="11"/>
  <c r="N10" i="11"/>
  <c r="N9" i="11"/>
  <c r="N8" i="11"/>
  <c r="B5" i="11"/>
  <c r="B25" i="11" s="1"/>
  <c r="B45" i="11" s="1"/>
  <c r="E150" i="9" l="1"/>
  <c r="I45" i="9"/>
  <c r="E14" i="3"/>
  <c r="H14" i="3"/>
  <c r="G14" i="3"/>
  <c r="E110" i="12"/>
  <c r="C70" i="9"/>
  <c r="G110" i="12"/>
  <c r="L69" i="9"/>
  <c r="N110" i="12"/>
  <c r="J110" i="12"/>
  <c r="H69" i="9"/>
  <c r="D69" i="9"/>
  <c r="F110" i="12"/>
  <c r="F63" i="12"/>
  <c r="D62" i="9"/>
  <c r="C164" i="9" s="1"/>
  <c r="B22" i="11"/>
  <c r="D31" i="9"/>
  <c r="D32" i="9" s="1"/>
  <c r="H31" i="9"/>
  <c r="H32" i="9" s="1"/>
  <c r="J31" i="9"/>
  <c r="J32" i="9" s="1"/>
  <c r="F31" i="9"/>
  <c r="F32" i="9" s="1"/>
  <c r="E31" i="9"/>
  <c r="E32" i="9" s="1"/>
  <c r="G16" i="12"/>
  <c r="M73" i="12"/>
  <c r="M31" i="9"/>
  <c r="M32" i="9" s="1"/>
  <c r="L31" i="9"/>
  <c r="L32" i="9" s="1"/>
  <c r="N31" i="9"/>
  <c r="N32" i="9" s="1"/>
  <c r="I62" i="11"/>
  <c r="E62" i="11"/>
  <c r="K31" i="9"/>
  <c r="K32" i="9" s="1"/>
  <c r="I31" i="9"/>
  <c r="I32" i="9" s="1"/>
  <c r="G40" i="11"/>
  <c r="M40" i="11"/>
  <c r="G31" i="9"/>
  <c r="G32" i="9" s="1"/>
  <c r="C32" i="9"/>
  <c r="C46" i="9" s="1"/>
  <c r="Z37" i="9"/>
  <c r="J45" i="9"/>
  <c r="G45" i="9"/>
  <c r="E20" i="11"/>
  <c r="C60" i="11"/>
  <c r="B60" i="11"/>
  <c r="G60" i="11"/>
  <c r="I60" i="11"/>
  <c r="E60" i="11"/>
  <c r="J60" i="11"/>
  <c r="N56" i="11"/>
  <c r="F60" i="11"/>
  <c r="K60" i="11"/>
  <c r="B58" i="11"/>
  <c r="N58" i="11" s="1"/>
  <c r="K40" i="11"/>
  <c r="C40" i="11"/>
  <c r="I40" i="11"/>
  <c r="H40" i="11"/>
  <c r="D40" i="11"/>
  <c r="E42" i="11"/>
  <c r="M20" i="11"/>
  <c r="K20" i="11"/>
  <c r="J20" i="11"/>
  <c r="I20" i="11"/>
  <c r="G20" i="11"/>
  <c r="F20" i="11"/>
  <c r="N16" i="11"/>
  <c r="C20" i="11"/>
  <c r="B20" i="11"/>
  <c r="B18" i="11"/>
  <c r="N18" i="11" s="1"/>
  <c r="N38" i="11"/>
  <c r="N41" i="11"/>
  <c r="E10" i="3" s="1"/>
  <c r="N36" i="11"/>
  <c r="B42" i="11"/>
  <c r="J42" i="11"/>
  <c r="L62" i="11"/>
  <c r="N21" i="11"/>
  <c r="D10" i="3" s="1"/>
  <c r="N61" i="11"/>
  <c r="D22" i="11"/>
  <c r="H22" i="11"/>
  <c r="L22" i="11"/>
  <c r="F42" i="11"/>
  <c r="D62" i="11"/>
  <c r="H62" i="11"/>
  <c r="J35" i="5"/>
  <c r="K35" i="5"/>
  <c r="L35" i="5"/>
  <c r="M35" i="5"/>
  <c r="M36" i="5" s="1"/>
  <c r="J36" i="5"/>
  <c r="K36" i="5"/>
  <c r="N55" i="9" s="1"/>
  <c r="L36" i="5"/>
  <c r="I35" i="5"/>
  <c r="I36" i="5" s="1"/>
  <c r="M55" i="9" s="1"/>
  <c r="D35" i="5"/>
  <c r="E35" i="5"/>
  <c r="F35" i="5"/>
  <c r="F36" i="5" s="1"/>
  <c r="G35" i="5"/>
  <c r="G36" i="5" s="1"/>
  <c r="D36" i="5"/>
  <c r="E36" i="5"/>
  <c r="C35" i="5"/>
  <c r="C36" i="5" s="1"/>
  <c r="D55" i="9"/>
  <c r="F24" i="5"/>
  <c r="H24" i="5"/>
  <c r="J23" i="5"/>
  <c r="J24" i="5" s="1"/>
  <c r="K23" i="5"/>
  <c r="K24" i="5" s="1"/>
  <c r="J55" i="9" s="1"/>
  <c r="L23" i="5"/>
  <c r="L24" i="5" s="1"/>
  <c r="M23" i="5"/>
  <c r="M24" i="5" s="1"/>
  <c r="I23" i="5"/>
  <c r="I24" i="5" s="1"/>
  <c r="D23" i="5"/>
  <c r="D24" i="5" s="1"/>
  <c r="E23" i="5"/>
  <c r="E24" i="5" s="1"/>
  <c r="F23" i="5"/>
  <c r="G23" i="5"/>
  <c r="G24" i="5" s="1"/>
  <c r="C23" i="5"/>
  <c r="C24" i="5" s="1"/>
  <c r="F15" i="9"/>
  <c r="G15" i="9"/>
  <c r="H15" i="9"/>
  <c r="I15" i="9"/>
  <c r="J15" i="9"/>
  <c r="K15" i="9"/>
  <c r="L15" i="9"/>
  <c r="M15" i="9"/>
  <c r="N15" i="9"/>
  <c r="E15" i="9"/>
  <c r="Z91" i="9"/>
  <c r="Z90" i="9"/>
  <c r="Z89" i="9"/>
  <c r="Z86" i="9"/>
  <c r="Z83" i="9"/>
  <c r="Z82" i="9"/>
  <c r="Z81" i="9"/>
  <c r="Z79" i="9"/>
  <c r="Z77" i="9"/>
  <c r="Z76" i="9"/>
  <c r="Z75" i="9"/>
  <c r="Z65" i="9"/>
  <c r="Z64" i="9"/>
  <c r="Z63" i="9"/>
  <c r="Z61" i="9"/>
  <c r="N34" i="5"/>
  <c r="N33" i="5"/>
  <c r="N22" i="5"/>
  <c r="N21" i="5"/>
  <c r="H6" i="4"/>
  <c r="D12" i="5"/>
  <c r="E12" i="5"/>
  <c r="F12" i="5"/>
  <c r="G12" i="5"/>
  <c r="H12" i="5"/>
  <c r="N10" i="5"/>
  <c r="N9" i="5"/>
  <c r="J11" i="5"/>
  <c r="J12" i="5" s="1"/>
  <c r="K11" i="5"/>
  <c r="K12" i="5" s="1"/>
  <c r="L11" i="5"/>
  <c r="L12" i="5" s="1"/>
  <c r="M11" i="5"/>
  <c r="M12" i="5" s="1"/>
  <c r="I11" i="5"/>
  <c r="I12" i="5" s="1"/>
  <c r="D11" i="5"/>
  <c r="C11" i="5"/>
  <c r="C12" i="5" s="1"/>
  <c r="C55" i="9" s="1"/>
  <c r="C58" i="9" s="1"/>
  <c r="C65" i="7"/>
  <c r="E65" i="7"/>
  <c r="F65" i="7"/>
  <c r="G65" i="7"/>
  <c r="H63" i="7"/>
  <c r="I65" i="7"/>
  <c r="J65" i="7"/>
  <c r="K65" i="7"/>
  <c r="L63" i="7"/>
  <c r="M65" i="7"/>
  <c r="B63" i="7"/>
  <c r="A56" i="7"/>
  <c r="A55" i="7"/>
  <c r="A54" i="7"/>
  <c r="A53" i="7"/>
  <c r="A52" i="7"/>
  <c r="A50" i="7"/>
  <c r="K63" i="7"/>
  <c r="G63" i="7"/>
  <c r="M59" i="7"/>
  <c r="M61" i="7" s="1"/>
  <c r="L59" i="7"/>
  <c r="L61" i="7" s="1"/>
  <c r="K59" i="7"/>
  <c r="K61" i="7" s="1"/>
  <c r="J59" i="7"/>
  <c r="J61" i="7" s="1"/>
  <c r="I59" i="7"/>
  <c r="I61" i="7" s="1"/>
  <c r="H59" i="7"/>
  <c r="H61" i="7" s="1"/>
  <c r="G59" i="7"/>
  <c r="G61" i="7" s="1"/>
  <c r="F59" i="7"/>
  <c r="F61" i="7" s="1"/>
  <c r="E59" i="7"/>
  <c r="E61" i="7" s="1"/>
  <c r="D59" i="7"/>
  <c r="D61" i="7" s="1"/>
  <c r="C59" i="7"/>
  <c r="C61" i="7" s="1"/>
  <c r="B59" i="7"/>
  <c r="N56" i="7"/>
  <c r="N55" i="7"/>
  <c r="N54" i="7"/>
  <c r="N53" i="7"/>
  <c r="N52" i="7"/>
  <c r="N50" i="7"/>
  <c r="C42" i="7"/>
  <c r="D42" i="7"/>
  <c r="E44" i="7"/>
  <c r="F42" i="7"/>
  <c r="G42" i="7"/>
  <c r="H42" i="7"/>
  <c r="I44" i="7"/>
  <c r="J42" i="7"/>
  <c r="K42" i="7"/>
  <c r="L42" i="7"/>
  <c r="M42" i="7"/>
  <c r="B44" i="7"/>
  <c r="E40" i="7"/>
  <c r="N31" i="7"/>
  <c r="N32" i="7"/>
  <c r="N33" i="7"/>
  <c r="N34" i="7"/>
  <c r="N35" i="7"/>
  <c r="N29" i="7"/>
  <c r="C38" i="7"/>
  <c r="C40" i="7" s="1"/>
  <c r="D38" i="7"/>
  <c r="D40" i="7" s="1"/>
  <c r="E38" i="7"/>
  <c r="F38" i="7"/>
  <c r="F40" i="7" s="1"/>
  <c r="G38" i="7"/>
  <c r="G40" i="7" s="1"/>
  <c r="H38" i="7"/>
  <c r="H40" i="7" s="1"/>
  <c r="I38" i="7"/>
  <c r="I40" i="7" s="1"/>
  <c r="J38" i="7"/>
  <c r="K38" i="7"/>
  <c r="K40" i="7" s="1"/>
  <c r="L38" i="7"/>
  <c r="L40" i="7" s="1"/>
  <c r="M38" i="7"/>
  <c r="M40" i="7" s="1"/>
  <c r="B38" i="7"/>
  <c r="A35" i="7"/>
  <c r="A34" i="7"/>
  <c r="A33" i="7"/>
  <c r="A32" i="7"/>
  <c r="A31" i="7"/>
  <c r="A29" i="7"/>
  <c r="M23" i="7"/>
  <c r="L21" i="7"/>
  <c r="K23" i="7"/>
  <c r="J23" i="7"/>
  <c r="I23" i="7"/>
  <c r="H21" i="7"/>
  <c r="G23" i="7"/>
  <c r="F23" i="7"/>
  <c r="E23" i="7"/>
  <c r="D21" i="7"/>
  <c r="C23" i="7"/>
  <c r="B23" i="7"/>
  <c r="N14" i="7"/>
  <c r="A14" i="7"/>
  <c r="C17" i="7"/>
  <c r="C19" i="7" s="1"/>
  <c r="D17" i="7"/>
  <c r="D19" i="7" s="1"/>
  <c r="E17" i="7"/>
  <c r="E19" i="7" s="1"/>
  <c r="F17" i="7"/>
  <c r="F19" i="7" s="1"/>
  <c r="G17" i="7"/>
  <c r="G19" i="7" s="1"/>
  <c r="H17" i="7"/>
  <c r="I17" i="7"/>
  <c r="I19" i="7" s="1"/>
  <c r="J17" i="7"/>
  <c r="J19" i="7" s="1"/>
  <c r="K17" i="7"/>
  <c r="L17" i="7"/>
  <c r="L19" i="7" s="1"/>
  <c r="M17" i="7"/>
  <c r="M19" i="7" s="1"/>
  <c r="B17" i="7"/>
  <c r="B19" i="7" s="1"/>
  <c r="E6" i="1"/>
  <c r="N10" i="7"/>
  <c r="N11" i="7"/>
  <c r="N12" i="7"/>
  <c r="N13" i="7"/>
  <c r="N8" i="7"/>
  <c r="B5" i="7"/>
  <c r="M44" i="7"/>
  <c r="K44" i="7"/>
  <c r="B3" i="5"/>
  <c r="B27" i="5" s="1"/>
  <c r="F11" i="4"/>
  <c r="H8" i="4"/>
  <c r="F17" i="4"/>
  <c r="F6" i="4"/>
  <c r="D17" i="4"/>
  <c r="D11" i="4"/>
  <c r="D10" i="4"/>
  <c r="D8" i="4"/>
  <c r="D6" i="4"/>
  <c r="D164" i="9" l="1"/>
  <c r="E15" i="3"/>
  <c r="D22" i="10"/>
  <c r="D50" i="10" s="1"/>
  <c r="G63" i="12"/>
  <c r="E62" i="9"/>
  <c r="Z62" i="9" s="1"/>
  <c r="D46" i="9"/>
  <c r="D48" i="9" s="1"/>
  <c r="N35" i="5"/>
  <c r="L55" i="9"/>
  <c r="H55" i="9"/>
  <c r="H97" i="9" s="1"/>
  <c r="F55" i="9"/>
  <c r="E55" i="9"/>
  <c r="H10" i="4"/>
  <c r="C19" i="4"/>
  <c r="F8" i="4"/>
  <c r="F10" i="4"/>
  <c r="G11" i="4"/>
  <c r="H11" i="4" s="1"/>
  <c r="F46" i="9"/>
  <c r="F49" i="9" s="1"/>
  <c r="E46" i="9"/>
  <c r="E49" i="9" s="1"/>
  <c r="H46" i="9"/>
  <c r="H47" i="9" s="1"/>
  <c r="H48" i="9" s="1"/>
  <c r="C44" i="7"/>
  <c r="C63" i="7"/>
  <c r="H44" i="7"/>
  <c r="E10" i="9"/>
  <c r="D10" i="9"/>
  <c r="C9" i="9"/>
  <c r="M10" i="9"/>
  <c r="J44" i="7"/>
  <c r="F10" i="9"/>
  <c r="J46" i="9"/>
  <c r="J49" i="9" s="1"/>
  <c r="H10" i="3"/>
  <c r="F10" i="3"/>
  <c r="G10" i="3"/>
  <c r="I46" i="9"/>
  <c r="I47" i="9" s="1"/>
  <c r="AC54" i="9"/>
  <c r="Z32" i="9"/>
  <c r="Z31" i="9"/>
  <c r="M63" i="7"/>
  <c r="L10" i="9"/>
  <c r="D63" i="7"/>
  <c r="N10" i="9"/>
  <c r="K9" i="9"/>
  <c r="K10" i="9" s="1"/>
  <c r="J40" i="7"/>
  <c r="G10" i="9"/>
  <c r="L44" i="7"/>
  <c r="N38" i="7"/>
  <c r="N43" i="7"/>
  <c r="J10" i="9"/>
  <c r="H10" i="9"/>
  <c r="D44" i="7"/>
  <c r="I10" i="9"/>
  <c r="B40" i="7"/>
  <c r="C48" i="9"/>
  <c r="Z15" i="9"/>
  <c r="AC79" i="9"/>
  <c r="T101" i="9" s="1"/>
  <c r="J97" i="9"/>
  <c r="J58" i="9"/>
  <c r="D58" i="9"/>
  <c r="D97" i="9"/>
  <c r="C97" i="9"/>
  <c r="C49" i="9"/>
  <c r="G46" i="9"/>
  <c r="N40" i="11"/>
  <c r="N60" i="11"/>
  <c r="N62" i="11"/>
  <c r="N20" i="11"/>
  <c r="N22" i="11"/>
  <c r="D11" i="3" s="1"/>
  <c r="N42" i="11"/>
  <c r="E11" i="3" s="1"/>
  <c r="N36" i="5"/>
  <c r="K55" i="9"/>
  <c r="I55" i="9"/>
  <c r="G55" i="9"/>
  <c r="N24" i="5"/>
  <c r="N23" i="5"/>
  <c r="N12" i="5"/>
  <c r="N11" i="5"/>
  <c r="H7" i="4"/>
  <c r="B15" i="5"/>
  <c r="B65" i="7"/>
  <c r="N59" i="7"/>
  <c r="B61" i="7"/>
  <c r="N61" i="7" s="1"/>
  <c r="B42" i="7"/>
  <c r="I63" i="7"/>
  <c r="G44" i="7"/>
  <c r="I42" i="7"/>
  <c r="E42" i="7"/>
  <c r="E63" i="7"/>
  <c r="J63" i="7"/>
  <c r="N40" i="7"/>
  <c r="N17" i="7"/>
  <c r="F63" i="7"/>
  <c r="D65" i="7"/>
  <c r="H65" i="7"/>
  <c r="N64" i="7"/>
  <c r="L65" i="7"/>
  <c r="F44" i="7"/>
  <c r="C21" i="7"/>
  <c r="L23" i="7"/>
  <c r="K21" i="7"/>
  <c r="H23" i="7"/>
  <c r="G21" i="7"/>
  <c r="D23" i="7"/>
  <c r="B21" i="7"/>
  <c r="M21" i="7"/>
  <c r="I21" i="7"/>
  <c r="E21" i="7"/>
  <c r="N22" i="7"/>
  <c r="J21" i="7"/>
  <c r="F21" i="7"/>
  <c r="K19" i="7"/>
  <c r="H19" i="7"/>
  <c r="B26" i="7"/>
  <c r="B47" i="7" s="1"/>
  <c r="F149" i="9" l="1"/>
  <c r="C10" i="9"/>
  <c r="C166" i="9"/>
  <c r="D166" i="9" s="1"/>
  <c r="J47" i="9"/>
  <c r="J48" i="9" s="1"/>
  <c r="H49" i="9"/>
  <c r="E97" i="9"/>
  <c r="E149" i="9"/>
  <c r="F58" i="9"/>
  <c r="F97" i="9"/>
  <c r="F47" i="9"/>
  <c r="F48" i="9" s="1"/>
  <c r="E48" i="9"/>
  <c r="D16" i="3"/>
  <c r="D20" i="3" s="1"/>
  <c r="D49" i="9"/>
  <c r="H58" i="9"/>
  <c r="E58" i="9"/>
  <c r="G17" i="4"/>
  <c r="H17" i="4" s="1"/>
  <c r="D19" i="4"/>
  <c r="E19" i="4"/>
  <c r="K7" i="5" s="1"/>
  <c r="D11" i="9"/>
  <c r="D22" i="9" s="1"/>
  <c r="C11" i="9"/>
  <c r="C165" i="9" s="1"/>
  <c r="C7" i="5"/>
  <c r="D7" i="5"/>
  <c r="N44" i="7"/>
  <c r="H11" i="3"/>
  <c r="G11" i="3"/>
  <c r="F11" i="3"/>
  <c r="G49" i="9"/>
  <c r="E16" i="3"/>
  <c r="E20" i="3" s="1"/>
  <c r="I49" i="9"/>
  <c r="I48" i="9"/>
  <c r="Z10" i="9"/>
  <c r="L101" i="9"/>
  <c r="P101" i="9"/>
  <c r="X101" i="9"/>
  <c r="Z9" i="9"/>
  <c r="N23" i="7"/>
  <c r="G58" i="9"/>
  <c r="G97" i="9"/>
  <c r="I97" i="9"/>
  <c r="I58" i="9"/>
  <c r="H101" i="9"/>
  <c r="N101" i="9"/>
  <c r="F101" i="9"/>
  <c r="J101" i="9"/>
  <c r="G47" i="9"/>
  <c r="G48" i="9" s="1"/>
  <c r="Z55" i="9"/>
  <c r="N63" i="7"/>
  <c r="N65" i="7"/>
  <c r="N42" i="7"/>
  <c r="N21" i="7"/>
  <c r="N19" i="7"/>
  <c r="D165" i="9" l="1"/>
  <c r="H12" i="1"/>
  <c r="H10" i="1" s="1"/>
  <c r="H7" i="1"/>
  <c r="H5" i="1" s="1"/>
  <c r="F5" i="1" s="1"/>
  <c r="E148" i="9"/>
  <c r="G149" i="9"/>
  <c r="G19" i="4"/>
  <c r="M7" i="5"/>
  <c r="L7" i="5"/>
  <c r="F19" i="4"/>
  <c r="I7" i="5"/>
  <c r="E11" i="9"/>
  <c r="J7" i="5"/>
  <c r="C22" i="9"/>
  <c r="D23" i="9"/>
  <c r="D25" i="9" s="1"/>
  <c r="D28" i="9" s="1"/>
  <c r="H19" i="4"/>
  <c r="E3" i="3"/>
  <c r="F3" i="3" s="1"/>
  <c r="A5" i="1"/>
  <c r="E26" i="1"/>
  <c r="M26" i="1"/>
  <c r="F26" i="1"/>
  <c r="L26" i="1"/>
  <c r="F25" i="1"/>
  <c r="F21" i="1"/>
  <c r="E21" i="1"/>
  <c r="M21" i="1" s="1"/>
  <c r="F20" i="1"/>
  <c r="E16" i="1"/>
  <c r="L16" i="1"/>
  <c r="E11" i="1"/>
  <c r="E10" i="1"/>
  <c r="E7" i="1"/>
  <c r="L6" i="1"/>
  <c r="L5" i="1"/>
  <c r="L11" i="1"/>
  <c r="L21" i="1"/>
  <c r="I10" i="3"/>
  <c r="I11" i="3"/>
  <c r="I12" i="3"/>
  <c r="I13" i="3"/>
  <c r="I14" i="3"/>
  <c r="D9" i="3"/>
  <c r="E9" i="3"/>
  <c r="H11" i="1" l="1"/>
  <c r="F11" i="1" s="1"/>
  <c r="C25" i="9"/>
  <c r="C177" i="9" s="1"/>
  <c r="D177" i="9" s="1"/>
  <c r="C176" i="9"/>
  <c r="H6" i="1"/>
  <c r="M6" i="1" s="1"/>
  <c r="N6" i="1" s="1"/>
  <c r="F22" i="9"/>
  <c r="F23" i="9"/>
  <c r="E22" i="9"/>
  <c r="M11" i="9"/>
  <c r="M22" i="9" s="1"/>
  <c r="G11" i="9"/>
  <c r="G22" i="9" s="1"/>
  <c r="E31" i="5"/>
  <c r="J19" i="5"/>
  <c r="K11" i="9"/>
  <c r="K22" i="9" s="1"/>
  <c r="F31" i="5"/>
  <c r="F19" i="5"/>
  <c r="C31" i="5"/>
  <c r="J31" i="5"/>
  <c r="D31" i="5"/>
  <c r="M19" i="5"/>
  <c r="J11" i="9"/>
  <c r="J22" i="9" s="1"/>
  <c r="N11" i="9"/>
  <c r="N22" i="9" s="1"/>
  <c r="I19" i="5"/>
  <c r="L31" i="5"/>
  <c r="G19" i="5"/>
  <c r="E19" i="5"/>
  <c r="H11" i="9"/>
  <c r="H22" i="9" s="1"/>
  <c r="D19" i="5"/>
  <c r="I11" i="9"/>
  <c r="I22" i="9" s="1"/>
  <c r="C19" i="5"/>
  <c r="G31" i="5"/>
  <c r="K31" i="5"/>
  <c r="L19" i="5"/>
  <c r="L11" i="9"/>
  <c r="L22" i="9" s="1"/>
  <c r="K19" i="5"/>
  <c r="M31" i="5"/>
  <c r="I31" i="5"/>
  <c r="E23" i="9"/>
  <c r="D8" i="5"/>
  <c r="C28" i="9"/>
  <c r="C27" i="9"/>
  <c r="C52" i="9" s="1"/>
  <c r="C8" i="5"/>
  <c r="D27" i="9"/>
  <c r="D52" i="9" s="1"/>
  <c r="D98" i="9" s="1"/>
  <c r="D99" i="9" s="1"/>
  <c r="M5" i="1"/>
  <c r="N5" i="1" s="1"/>
  <c r="F27" i="1"/>
  <c r="F22" i="1"/>
  <c r="N26" i="1"/>
  <c r="M10" i="1"/>
  <c r="F10" i="1"/>
  <c r="F12" i="1" s="1"/>
  <c r="M11" i="1"/>
  <c r="N11" i="1" s="1"/>
  <c r="N21" i="1"/>
  <c r="A10" i="1"/>
  <c r="G3" i="3"/>
  <c r="A15" i="1"/>
  <c r="E15" i="1"/>
  <c r="L7" i="1"/>
  <c r="E12" i="1"/>
  <c r="L10" i="1"/>
  <c r="D176" i="9" l="1"/>
  <c r="D178" i="9"/>
  <c r="F6" i="1"/>
  <c r="F7" i="1" s="1"/>
  <c r="E25" i="9"/>
  <c r="E28" i="9" s="1"/>
  <c r="M23" i="9"/>
  <c r="Z11" i="9"/>
  <c r="H23" i="9"/>
  <c r="G23" i="9"/>
  <c r="G25" i="9" s="1"/>
  <c r="G28" i="9" s="1"/>
  <c r="L23" i="9"/>
  <c r="I23" i="9"/>
  <c r="N23" i="9"/>
  <c r="K23" i="9"/>
  <c r="J23" i="9"/>
  <c r="C98" i="9"/>
  <c r="C99" i="9" s="1"/>
  <c r="C93" i="9"/>
  <c r="D92" i="9" s="1"/>
  <c r="E26" i="9"/>
  <c r="E27" i="9" s="1"/>
  <c r="E52" i="9" s="1"/>
  <c r="E98" i="9" s="1"/>
  <c r="E99" i="9" s="1"/>
  <c r="F25" i="9"/>
  <c r="Z22" i="9"/>
  <c r="N7" i="1"/>
  <c r="M7" i="1"/>
  <c r="D6" i="3" s="1"/>
  <c r="M12" i="1"/>
  <c r="E6" i="3" s="1"/>
  <c r="A20" i="1"/>
  <c r="H3" i="3"/>
  <c r="A25" i="1" s="1"/>
  <c r="D5" i="3"/>
  <c r="L12" i="1"/>
  <c r="E5" i="3" s="1"/>
  <c r="N10" i="1"/>
  <c r="N12" i="1" s="1"/>
  <c r="E17" i="1"/>
  <c r="E20" i="1"/>
  <c r="L15" i="1"/>
  <c r="F28" i="9" l="1"/>
  <c r="I8" i="5"/>
  <c r="J8" i="5" s="1"/>
  <c r="K8" i="5" s="1"/>
  <c r="L8" i="5" s="1"/>
  <c r="M8" i="5" s="1"/>
  <c r="F26" i="9"/>
  <c r="F27" i="9" s="1"/>
  <c r="F52" i="9" s="1"/>
  <c r="F98" i="9" s="1"/>
  <c r="F99" i="9" s="1"/>
  <c r="F100" i="9" s="1"/>
  <c r="F102" i="9" s="1"/>
  <c r="F103" i="9" s="1"/>
  <c r="Z23" i="9"/>
  <c r="G27" i="9"/>
  <c r="D93" i="9"/>
  <c r="E92" i="9" s="1"/>
  <c r="E7" i="3"/>
  <c r="E18" i="3" s="1"/>
  <c r="E22" i="3" s="1"/>
  <c r="E25" i="3" s="1"/>
  <c r="E27" i="3" s="1"/>
  <c r="L20" i="1"/>
  <c r="E25" i="1"/>
  <c r="E22" i="1"/>
  <c r="M20" i="1"/>
  <c r="M22" i="1" s="1"/>
  <c r="G6" i="3" s="1"/>
  <c r="D7" i="3"/>
  <c r="L17" i="1"/>
  <c r="G52" i="9" l="1"/>
  <c r="G98" i="9" s="1"/>
  <c r="G99" i="9" s="1"/>
  <c r="H24" i="9"/>
  <c r="H107" i="9"/>
  <c r="E93" i="9"/>
  <c r="F92" i="9" s="1"/>
  <c r="F93" i="9" s="1"/>
  <c r="G92" i="9" s="1"/>
  <c r="G93" i="9" s="1"/>
  <c r="H92" i="9" s="1"/>
  <c r="H108" i="9"/>
  <c r="D18" i="3"/>
  <c r="M25" i="1"/>
  <c r="M27" i="1" s="1"/>
  <c r="E27" i="1"/>
  <c r="L25" i="1"/>
  <c r="F5" i="3"/>
  <c r="L22" i="1"/>
  <c r="G5" i="3" s="1"/>
  <c r="G7" i="3" s="1"/>
  <c r="N20" i="1"/>
  <c r="N22" i="1" s="1"/>
  <c r="M56" i="9" l="1"/>
  <c r="L56" i="9"/>
  <c r="K56" i="9"/>
  <c r="N56" i="9"/>
  <c r="L27" i="1"/>
  <c r="N25" i="1"/>
  <c r="N27" i="1" s="1"/>
  <c r="D22" i="3"/>
  <c r="H6" i="3"/>
  <c r="F150" i="9" l="1"/>
  <c r="G150" i="9" s="1"/>
  <c r="N45" i="9"/>
  <c r="N46" i="9" s="1"/>
  <c r="N49" i="9" s="1"/>
  <c r="N58" i="9"/>
  <c r="N97" i="9"/>
  <c r="K45" i="9"/>
  <c r="Z56" i="9"/>
  <c r="K58" i="9"/>
  <c r="K97" i="9"/>
  <c r="L45" i="9"/>
  <c r="L46" i="9" s="1"/>
  <c r="L47" i="9" s="1"/>
  <c r="L48" i="9" s="1"/>
  <c r="L97" i="9"/>
  <c r="L58" i="9"/>
  <c r="M45" i="9"/>
  <c r="M46" i="9" s="1"/>
  <c r="M49" i="9" s="1"/>
  <c r="M97" i="9"/>
  <c r="M58" i="9"/>
  <c r="D25" i="3"/>
  <c r="H5" i="3"/>
  <c r="L30" i="1"/>
  <c r="F148" i="9" l="1"/>
  <c r="G148" i="9" s="1"/>
  <c r="L49" i="9"/>
  <c r="N47" i="9"/>
  <c r="N48" i="9" s="1"/>
  <c r="M47" i="9"/>
  <c r="M48" i="9" s="1"/>
  <c r="Z58" i="9"/>
  <c r="F15" i="3"/>
  <c r="K46" i="9"/>
  <c r="Z45" i="9"/>
  <c r="H7" i="3"/>
  <c r="I5" i="3"/>
  <c r="D27" i="3"/>
  <c r="F16" i="3" l="1"/>
  <c r="Z46" i="9"/>
  <c r="K49" i="9"/>
  <c r="Z49" i="9" s="1"/>
  <c r="K47" i="9"/>
  <c r="Z47" i="9" s="1"/>
  <c r="H15" i="3"/>
  <c r="G15" i="3"/>
  <c r="AC9" i="9"/>
  <c r="D4" i="10"/>
  <c r="D32" i="10" s="1"/>
  <c r="I15" i="3" l="1"/>
  <c r="F9" i="3"/>
  <c r="F20" i="3"/>
  <c r="K48" i="9"/>
  <c r="Z48" i="9" s="1"/>
  <c r="H16" i="3"/>
  <c r="G16" i="3"/>
  <c r="G9" i="3" l="1"/>
  <c r="G20" i="3"/>
  <c r="H9" i="3"/>
  <c r="H18" i="3" s="1"/>
  <c r="H20" i="3"/>
  <c r="H17" i="1"/>
  <c r="H16" i="1" s="1"/>
  <c r="I16" i="3"/>
  <c r="G18" i="3"/>
  <c r="Z80" i="9"/>
  <c r="I9" i="3" l="1"/>
  <c r="I20" i="3"/>
  <c r="G22" i="3"/>
  <c r="G25" i="3" s="1"/>
  <c r="G27" i="3" s="1"/>
  <c r="H22" i="3"/>
  <c r="H15" i="1"/>
  <c r="F15" i="1" s="1"/>
  <c r="F16" i="1"/>
  <c r="M16" i="1"/>
  <c r="N16" i="1" s="1"/>
  <c r="M15" i="1" l="1"/>
  <c r="M17" i="1" s="1"/>
  <c r="H25" i="3"/>
  <c r="H27" i="3" s="1"/>
  <c r="N15" i="1"/>
  <c r="N17" i="1" s="1"/>
  <c r="N30" i="1" s="1"/>
  <c r="F17" i="1"/>
  <c r="F6" i="3" l="1"/>
  <c r="M30" i="1"/>
  <c r="F7" i="3" l="1"/>
  <c r="I6" i="3"/>
  <c r="F18" i="3" l="1"/>
  <c r="I7" i="3"/>
  <c r="O99" i="9"/>
  <c r="F22" i="3" l="1"/>
  <c r="I18" i="3"/>
  <c r="F25" i="3" l="1"/>
  <c r="I25" i="3" s="1"/>
  <c r="I22" i="3"/>
  <c r="P99" i="9"/>
  <c r="F27" i="3" l="1"/>
  <c r="I27" i="3" s="1"/>
  <c r="Q99" i="9" l="1"/>
  <c r="R99" i="9" l="1"/>
  <c r="S99" i="9" l="1"/>
  <c r="T99" i="9" l="1"/>
  <c r="T100" i="9" s="1"/>
  <c r="T102" i="9" l="1"/>
  <c r="U99" i="9" l="1"/>
  <c r="V99" i="9" l="1"/>
  <c r="W99" i="9" l="1"/>
  <c r="X99" i="9" l="1"/>
  <c r="X100" i="9" s="1"/>
  <c r="X102" i="9" l="1"/>
  <c r="H25" i="9"/>
  <c r="H26" i="9" s="1"/>
  <c r="H27" i="9" s="1"/>
  <c r="H28" i="9" l="1"/>
  <c r="C20" i="5"/>
  <c r="D20" i="5" s="1"/>
  <c r="E20" i="5" s="1"/>
  <c r="F20" i="5" s="1"/>
  <c r="G20" i="5" s="1"/>
  <c r="H52" i="9"/>
  <c r="I24" i="9"/>
  <c r="I25" i="9" l="1"/>
  <c r="I28" i="9" s="1"/>
  <c r="H98" i="9"/>
  <c r="H99" i="9" s="1"/>
  <c r="H93" i="9"/>
  <c r="I92" i="9" s="1"/>
  <c r="J24" i="9" l="1"/>
  <c r="H100" i="9"/>
  <c r="H102" i="9" s="1"/>
  <c r="H103" i="9" s="1"/>
  <c r="I26" i="9"/>
  <c r="J25" i="9" l="1"/>
  <c r="J26" i="9" s="1"/>
  <c r="I27" i="9"/>
  <c r="I20" i="5" l="1"/>
  <c r="J20" i="5" s="1"/>
  <c r="K20" i="5" s="1"/>
  <c r="L20" i="5" s="1"/>
  <c r="M20" i="5" s="1"/>
  <c r="J28" i="9"/>
  <c r="J27" i="9"/>
  <c r="J52" i="9" s="1"/>
  <c r="J98" i="9" s="1"/>
  <c r="J99" i="9" s="1"/>
  <c r="I52" i="9"/>
  <c r="I98" i="9" l="1"/>
  <c r="I99" i="9" s="1"/>
  <c r="I93" i="9"/>
  <c r="K24" i="9"/>
  <c r="K25" i="9" l="1"/>
  <c r="K26" i="9"/>
  <c r="K28" i="9"/>
  <c r="J92" i="9"/>
  <c r="J93" i="9" s="1"/>
  <c r="K92" i="9" s="1"/>
  <c r="J100" i="9"/>
  <c r="J102" i="9" l="1"/>
  <c r="J103" i="9" s="1"/>
  <c r="I107" i="9"/>
  <c r="K27" i="9"/>
  <c r="L24" i="9"/>
  <c r="L25" i="9" l="1"/>
  <c r="L26" i="9" s="1"/>
  <c r="K52" i="9"/>
  <c r="I108" i="9"/>
  <c r="E32" i="5" l="1"/>
  <c r="G32" i="5"/>
  <c r="C32" i="5"/>
  <c r="L28" i="9"/>
  <c r="M24" i="9" s="1"/>
  <c r="M25" i="9" s="1"/>
  <c r="M28" i="9" s="1"/>
  <c r="N24" i="9" s="1"/>
  <c r="D32" i="5"/>
  <c r="K98" i="9"/>
  <c r="K99" i="9" s="1"/>
  <c r="K93" i="9"/>
  <c r="F32" i="5"/>
  <c r="L27" i="9"/>
  <c r="M26" i="9" l="1"/>
  <c r="M27" i="9" s="1"/>
  <c r="M52" i="9" s="1"/>
  <c r="M98" i="9" s="1"/>
  <c r="M99" i="9" s="1"/>
  <c r="N25" i="9"/>
  <c r="Z25" i="9" s="1"/>
  <c r="Z24" i="9"/>
  <c r="L52" i="9"/>
  <c r="L98" i="9" s="1"/>
  <c r="L99" i="9" s="1"/>
  <c r="L100" i="9" s="1"/>
  <c r="L102" i="9" s="1"/>
  <c r="L103" i="9" s="1"/>
  <c r="L92" i="9"/>
  <c r="N28" i="9" l="1"/>
  <c r="Z28" i="9" s="1"/>
  <c r="N26" i="9"/>
  <c r="Z26" i="9" s="1"/>
  <c r="AC14" i="9" s="1"/>
  <c r="L93" i="9"/>
  <c r="M92" i="9" s="1"/>
  <c r="M93" i="9" s="1"/>
  <c r="AC10" i="9"/>
  <c r="AC11" i="9" s="1"/>
  <c r="D5" i="10"/>
  <c r="M32" i="5"/>
  <c r="K32" i="5"/>
  <c r="J32" i="5" l="1"/>
  <c r="I32" i="5"/>
  <c r="N27" i="9"/>
  <c r="N52" i="9" s="1"/>
  <c r="N98" i="9" s="1"/>
  <c r="N99" i="9" s="1"/>
  <c r="N100" i="9" s="1"/>
  <c r="D7" i="10"/>
  <c r="D35" i="10" s="1"/>
  <c r="L32" i="5"/>
  <c r="AC25" i="9"/>
  <c r="AC19" i="9"/>
  <c r="D6" i="10"/>
  <c r="D33" i="10"/>
  <c r="N92" i="9"/>
  <c r="N93" i="9" l="1"/>
  <c r="O92" i="9" s="1"/>
  <c r="O93" i="9" s="1"/>
  <c r="P92" i="9" s="1"/>
  <c r="P93" i="9" s="1"/>
  <c r="Q92" i="9" s="1"/>
  <c r="Q93" i="9" s="1"/>
  <c r="R92" i="9" s="1"/>
  <c r="R93" i="9" s="1"/>
  <c r="S92" i="9" s="1"/>
  <c r="S93" i="9" s="1"/>
  <c r="T92" i="9" s="1"/>
  <c r="T93" i="9" s="1"/>
  <c r="U92" i="9" s="1"/>
  <c r="U93" i="9" s="1"/>
  <c r="V92" i="9" s="1"/>
  <c r="V93" i="9" s="1"/>
  <c r="W92" i="9" s="1"/>
  <c r="W93" i="9" s="1"/>
  <c r="X92" i="9" s="1"/>
  <c r="X93" i="9" s="1"/>
  <c r="Z27" i="9"/>
  <c r="P100" i="9"/>
  <c r="P102" i="9" s="1"/>
  <c r="P103" i="9" s="1"/>
  <c r="T103" i="9" s="1"/>
  <c r="X103" i="9" s="1"/>
  <c r="J109" i="9"/>
  <c r="AC82" i="9" s="1"/>
  <c r="D34" i="10"/>
  <c r="D8" i="10"/>
  <c r="AC26" i="9"/>
  <c r="AC83" i="9" s="1"/>
  <c r="D20" i="10" s="1"/>
  <c r="D48" i="10" s="1"/>
  <c r="AC24" i="9"/>
  <c r="AC85" i="9"/>
  <c r="AC63" i="9"/>
  <c r="J107" i="9"/>
  <c r="AC80" i="9" s="1"/>
  <c r="D17" i="10" s="1"/>
  <c r="D45" i="10" s="1"/>
  <c r="N102" i="9"/>
  <c r="N103" i="9" s="1"/>
  <c r="AC93" i="9" l="1"/>
  <c r="AC92" i="9"/>
  <c r="AC52" i="9"/>
  <c r="AC61" i="9" s="1"/>
  <c r="D19" i="10"/>
  <c r="D47" i="10" s="1"/>
  <c r="AC81" i="9"/>
  <c r="D18" i="10" s="1"/>
  <c r="D46" i="10" s="1"/>
  <c r="J108" i="9"/>
  <c r="D36" i="10"/>
  <c r="D9" i="10"/>
  <c r="D3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6" authorId="0" shapeId="0" xr:uid="{5575AAA5-1B7E-924E-85C1-04ADE0497B09}">
      <text>
        <r>
          <rPr>
            <b/>
            <sz val="10"/>
            <color rgb="FF000000"/>
            <rFont val="Tahoma"/>
            <family val="2"/>
            <charset val="204"/>
          </rPr>
          <t xml:space="preserve">Стоимость абоненской платы:
</t>
        </r>
        <r>
          <rPr>
            <b/>
            <sz val="10"/>
            <color rgb="FF000000"/>
            <rFont val="Tahoma"/>
            <family val="2"/>
            <charset val="204"/>
          </rPr>
          <t xml:space="preserve">100 руб./месяц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H6" authorId="0" shapeId="0" xr:uid="{714A8381-B00D-3642-A1F3-6099FD946923}">
      <text>
        <r>
          <rPr>
            <b/>
            <sz val="10"/>
            <color rgb="FF000000"/>
            <rFont val="Tahoma"/>
            <family val="2"/>
            <charset val="204"/>
          </rPr>
          <t xml:space="preserve">Затраты за год/на кол-во клиентов и сделок с ними
</t>
        </r>
      </text>
    </comment>
    <comment ref="I6" authorId="0" shapeId="0" xr:uid="{14E560FC-F58F-3E45-B8FC-90E2097218BE}">
      <text>
        <r>
          <rPr>
            <b/>
            <sz val="10"/>
            <color rgb="FF000000"/>
            <rFont val="Tahoma"/>
            <family val="2"/>
            <charset val="204"/>
          </rPr>
          <t xml:space="preserve">5-10% от стоимости абон. платы за клиента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J6" authorId="0" shapeId="0" xr:uid="{AA77121A-7E36-0B4E-A655-917981C4ADA6}">
      <text>
        <r>
          <rPr>
            <b/>
            <sz val="10"/>
            <color rgb="FF000000"/>
            <rFont val="Tahoma"/>
            <family val="2"/>
            <charset val="204"/>
          </rPr>
          <t xml:space="preserve">Затраты на содержание отдела продаж
</t>
        </r>
        <r>
          <rPr>
            <b/>
            <sz val="10"/>
            <color rgb="FF000000"/>
            <rFont val="Tahoma"/>
            <family val="2"/>
            <charset val="204"/>
          </rPr>
          <t xml:space="preserve">по холодным звонки и прямым продажам, в среднем по рынку - 12 руб за лид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I11" authorId="0" shapeId="0" xr:uid="{F3E50307-D62D-0543-9631-B620922C2738}">
      <text>
        <r>
          <rPr>
            <b/>
            <sz val="10"/>
            <color rgb="FF000000"/>
            <rFont val="Tahoma"/>
            <family val="2"/>
            <charset val="204"/>
          </rPr>
          <t xml:space="preserve">5-10% от стоимости абон. платы за клиента + 100 руб. за клиента (для агентов в других городах)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I16" authorId="0" shapeId="0" xr:uid="{CD9B1E65-0BC1-FD4C-95EB-45E242D928AC}">
      <text>
        <r>
          <rPr>
            <b/>
            <sz val="10"/>
            <color rgb="FF000000"/>
            <rFont val="Tahoma"/>
            <family val="2"/>
            <charset val="204"/>
          </rPr>
          <t xml:space="preserve">5-10% от стоимости абон. платы за клиента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I21" authorId="0" shapeId="0" xr:uid="{5ABDBB54-5A0A-244E-BF6D-4EEE9854854D}">
      <text>
        <r>
          <rPr>
            <b/>
            <sz val="10"/>
            <color rgb="FF000000"/>
            <rFont val="Tahoma"/>
            <family val="2"/>
            <charset val="204"/>
          </rPr>
          <t xml:space="preserve">5-10% от стоимости абон. платы за клиента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I26" authorId="0" shapeId="0" xr:uid="{67471E90-B025-9142-BF98-64CC30BE6B0D}">
      <text>
        <r>
          <rPr>
            <b/>
            <sz val="10"/>
            <color rgb="FF000000"/>
            <rFont val="Tahoma"/>
            <family val="2"/>
            <charset val="204"/>
          </rPr>
          <t xml:space="preserve">5-10% от стоимости абон. платы за клиента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b/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K10" authorId="0" shapeId="0" xr:uid="{00000000-0006-0000-0000-000002000000}">
      <text>
        <r>
          <rPr>
            <sz val="9"/>
            <color rgb="FF000000"/>
            <rFont val="Tahoma"/>
            <family val="2"/>
            <charset val="204"/>
          </rPr>
          <t>Все денежные значения для всех периодов указываются в ценах текущего периода, без учета влияния инфляции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4" authorId="0" shapeId="0" xr:uid="{53540EFA-CDF8-3A46-9984-A1A64EB32F98}">
      <text>
        <r>
          <rPr>
            <b/>
            <sz val="10"/>
            <color rgb="FF000000"/>
            <rFont val="Tahoma"/>
            <family val="2"/>
            <charset val="204"/>
          </rPr>
          <t xml:space="preserve">Кладовщик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B35" authorId="0" shapeId="0" xr:uid="{FEBB6560-3AEA-5C40-8132-ABE30D19E867}">
      <text>
        <r>
          <rPr>
            <b/>
            <sz val="10"/>
            <color rgb="FF000000"/>
            <rFont val="Tahoma"/>
            <family val="2"/>
            <charset val="204"/>
          </rPr>
          <t xml:space="preserve">Кладовщик, сортировщик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B56" authorId="0" shapeId="0" xr:uid="{FA1DDDB1-2EC9-E141-8CA2-6B778B048338}">
      <text>
        <r>
          <rPr>
            <b/>
            <sz val="10"/>
            <color rgb="FF000000"/>
            <rFont val="Tahoma"/>
            <family val="2"/>
            <charset val="204"/>
          </rPr>
          <t xml:space="preserve">+водитель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34" authorId="0" shapeId="0" xr:uid="{49FEB9BA-FB70-0945-872E-39B8EB919F39}">
      <text>
        <r>
          <rPr>
            <b/>
            <sz val="10"/>
            <color rgb="FF000000"/>
            <rFont val="Tahoma"/>
            <family val="2"/>
            <charset val="204"/>
          </rPr>
          <t>Использовать ЦКП Ск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1" authorId="0" shapeId="0" xr:uid="{2BAAE978-7096-C649-9A0A-DADB6DD98298}">
      <text>
        <r>
          <rPr>
            <sz val="10"/>
            <color rgb="FF000000"/>
            <rFont val="Tahoma"/>
            <family val="2"/>
            <charset val="204"/>
          </rPr>
          <t xml:space="preserve">Прибавляется стоимость комплектующих необходимых для производства в следующем квартале
</t>
        </r>
      </text>
    </comment>
    <comment ref="C12" authorId="0" shapeId="0" xr:uid="{6F24172C-91A7-DA4E-875C-5A4CAE56AE7A}">
      <text>
        <r>
          <rPr>
            <b/>
            <sz val="10"/>
            <color rgb="FF000000"/>
            <rFont val="Tahoma"/>
            <family val="2"/>
            <charset val="204"/>
          </rPr>
          <t>Прошивка - доработка оутсорс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D12" authorId="0" shapeId="0" xr:uid="{CB15704A-51C9-D844-9EDB-5FBDA0AAA2D0}">
      <text>
        <r>
          <rPr>
            <sz val="10"/>
            <color rgb="FF000000"/>
            <rFont val="Tahoma"/>
            <family val="2"/>
            <charset val="204"/>
          </rPr>
          <t xml:space="preserve">R&amp;D - Промышленный дизайн (антенны, печатная плата, корпус)
</t>
        </r>
      </text>
    </comment>
    <comment ref="E12" authorId="0" shapeId="0" xr:uid="{0FAFA4B9-BD36-9E4A-BCCD-A17D4F77A060}">
      <text>
        <r>
          <rPr>
            <b/>
            <sz val="10"/>
            <color rgb="FF000000"/>
            <rFont val="Tahoma"/>
            <family val="2"/>
            <charset val="204"/>
          </rPr>
          <t xml:space="preserve">R&amp;D - антенны, печатная плата, прошивка, корпус
</t>
        </r>
      </text>
    </comment>
    <comment ref="H12" authorId="0" shapeId="0" xr:uid="{42375160-D1A3-CB4A-9BD7-CD66A2FEC439}">
      <text>
        <r>
          <rPr>
            <b/>
            <sz val="10"/>
            <color rgb="FF000000"/>
            <rFont val="Tahoma"/>
            <family val="2"/>
            <charset val="204"/>
          </rPr>
          <t>Автор: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разработка браслета с экраном и доп. сенсорами
</t>
        </r>
      </text>
    </comment>
    <comment ref="J12" authorId="0" shapeId="0" xr:uid="{F9D48581-A8C7-5548-8534-FA6D87649C3E}">
      <text>
        <r>
          <rPr>
            <b/>
            <sz val="10"/>
            <color rgb="FF000000"/>
            <rFont val="Tahoma"/>
            <family val="2"/>
            <charset val="204"/>
          </rPr>
          <t>Автор: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>разработка новой версии браслета</t>
        </r>
      </text>
    </comment>
    <comment ref="N12" authorId="0" shapeId="0" xr:uid="{59B19A94-CBAA-984B-82B1-B9F5641FBB39}">
      <text>
        <r>
          <rPr>
            <b/>
            <sz val="10"/>
            <color rgb="FF000000"/>
            <rFont val="Tahoma"/>
            <family val="2"/>
            <charset val="204"/>
          </rPr>
          <t>Автор:</t>
        </r>
        <r>
          <rPr>
            <sz val="10"/>
            <color rgb="FF000000"/>
            <rFont val="Tahoma"/>
            <family val="2"/>
            <charset val="204"/>
          </rPr>
          <t xml:space="preserve">
разработка новой версии браслета</t>
        </r>
      </text>
    </comment>
    <comment ref="H24" authorId="0" shapeId="0" xr:uid="{87BDF004-12C4-D444-9DF3-A2980D1AD082}">
      <text>
        <r>
          <rPr>
            <sz val="10"/>
            <color rgb="FF000000"/>
            <rFont val="Tahoma"/>
            <family val="2"/>
            <charset val="204"/>
          </rPr>
          <t xml:space="preserve">Затраты на выход на массовый рынок, в следующие кварталы - 15% от валовой прибыли
</t>
        </r>
      </text>
    </comment>
    <comment ref="C34" authorId="0" shapeId="0" xr:uid="{1EF16C95-8738-CC44-B264-95499438AAD8}">
      <text>
        <r>
          <rPr>
            <sz val="10"/>
            <color rgb="FF000000"/>
            <rFont val="Tahoma"/>
            <family val="2"/>
            <charset val="204"/>
          </rPr>
          <t xml:space="preserve">Разработка мобильного приложения </t>
        </r>
        <r>
          <rPr>
            <sz val="10"/>
            <color rgb="FF000000"/>
            <rFont val="Tahoma"/>
            <family val="2"/>
            <charset val="204"/>
          </rPr>
          <t>IoS, Android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D34" authorId="0" shapeId="0" xr:uid="{1D20067D-C69E-224F-9DB8-8A920DD48836}">
      <text>
        <r>
          <rPr>
            <b/>
            <sz val="10"/>
            <color rgb="FF000000"/>
            <rFont val="Tahoma"/>
            <family val="2"/>
            <charset val="204"/>
          </rPr>
          <t xml:space="preserve">Серверное ПО - подрядчик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E34" authorId="0" shapeId="0" xr:uid="{56DBFAB8-434D-2348-9AF1-1B78042D537F}">
      <text>
        <r>
          <rPr>
            <sz val="10"/>
            <color rgb="FF000000"/>
            <rFont val="Tahoma"/>
            <family val="2"/>
            <charset val="204"/>
          </rPr>
          <t xml:space="preserve">доработка приложения - мобильное ПО
</t>
        </r>
      </text>
    </comment>
    <comment ref="G34" authorId="0" shapeId="0" xr:uid="{83291D04-B5B6-9346-8A1C-90954429F593}">
      <text>
        <r>
          <rPr>
            <b/>
            <sz val="10"/>
            <color rgb="FF000000"/>
            <rFont val="Tahoma"/>
            <family val="2"/>
            <charset val="204"/>
          </rPr>
          <t xml:space="preserve">Мобильное ПО - доработка, защита ИС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  <comment ref="F91" authorId="0" shapeId="0" xr:uid="{0B2DBC5F-04E2-CB40-A886-BC733EFBF258}">
      <text>
        <r>
          <rPr>
            <sz val="10"/>
            <color rgb="FF000000"/>
            <rFont val="Tahoma"/>
            <family val="2"/>
            <charset val="204"/>
          </rPr>
          <t xml:space="preserve">Необходимы ооротные средства для запуска производства в следующем квартале.
</t>
        </r>
      </text>
    </comment>
  </commentList>
</comments>
</file>

<file path=xl/sharedStrings.xml><?xml version="1.0" encoding="utf-8"?>
<sst xmlns="http://schemas.openxmlformats.org/spreadsheetml/2006/main" count="866" uniqueCount="532">
  <si>
    <t>Profit</t>
  </si>
  <si>
    <t>Revenue</t>
  </si>
  <si>
    <t>Period 0</t>
  </si>
  <si>
    <t>Period 1</t>
  </si>
  <si>
    <t>Period 2</t>
  </si>
  <si>
    <t>Period 3</t>
  </si>
  <si>
    <t>Period 4</t>
  </si>
  <si>
    <t>Period 5</t>
  </si>
  <si>
    <t>Выручка</t>
  </si>
  <si>
    <t>Gross profit</t>
  </si>
  <si>
    <t>Затраты итого</t>
  </si>
  <si>
    <t>Амортизация</t>
  </si>
  <si>
    <t>EBITDA</t>
  </si>
  <si>
    <t>EBIT</t>
  </si>
  <si>
    <t>Ставка налога на прибыль (%)</t>
  </si>
  <si>
    <t>Средний период уплаты дебиторской задолженности*</t>
  </si>
  <si>
    <t>Средний период уплаты кредиторской задолженности**</t>
  </si>
  <si>
    <t>* количество дней, которое проходит от момента высталения счета покупателю до моменту поступления денежных средств от него</t>
  </si>
  <si>
    <t>** количество дней, которое проходит от момента высталения счета поставщиком услуг/материалов до момента оплаты ему</t>
  </si>
  <si>
    <t>Старые клиенты</t>
  </si>
  <si>
    <t>Новые клиенты</t>
  </si>
  <si>
    <t>Конверсия в покупку (%)</t>
  </si>
  <si>
    <t>Потенциальные клиенты(шт.)</t>
  </si>
  <si>
    <t>Клиенты(шт.)</t>
  </si>
  <si>
    <t>Себестоимость одной сделки(Руб.)</t>
  </si>
  <si>
    <t>Издержки первой продажи/заключения договора (Руб.)</t>
  </si>
  <si>
    <t>Число сделок за период с одним клиентом (шт.)</t>
  </si>
  <si>
    <t>COGS</t>
  </si>
  <si>
    <t>Потерянные клиенты (%)</t>
  </si>
  <si>
    <t>Итого</t>
  </si>
  <si>
    <t>TOTAL CF</t>
  </si>
  <si>
    <t>Total</t>
  </si>
  <si>
    <t>Налог на прибыль</t>
  </si>
  <si>
    <t>Marginal profit</t>
  </si>
  <si>
    <t>Дней</t>
  </si>
  <si>
    <t>Себестоимость</t>
  </si>
  <si>
    <t>Средняя выручка одной сделки (Руб.)</t>
  </si>
  <si>
    <t>Инфляция =0</t>
  </si>
  <si>
    <t>Маржа по одному клиенту за период (Руб.) ARPPU</t>
  </si>
  <si>
    <t>Затраты на привлечение клиента* CPA</t>
  </si>
  <si>
    <t>Наименование</t>
  </si>
  <si>
    <t>Зарядное устройство</t>
  </si>
  <si>
    <t>Корпус/элементы корпуса</t>
  </si>
  <si>
    <t>Ремешок</t>
  </si>
  <si>
    <t>Логистика/отбраковка</t>
  </si>
  <si>
    <t>Цена за ед., руб.</t>
  </si>
  <si>
    <t>Цена партии, руб.</t>
  </si>
  <si>
    <t>Аккумулятор</t>
  </si>
  <si>
    <t>Наименование комплектующих</t>
  </si>
  <si>
    <t>Пилот ( ед.)</t>
  </si>
  <si>
    <t>Тираж произв.</t>
  </si>
  <si>
    <t>Наименование продукции</t>
  </si>
  <si>
    <t>месяцы</t>
  </si>
  <si>
    <t>Итого за год</t>
  </si>
  <si>
    <t>Объём реализации (количество)</t>
  </si>
  <si>
    <t xml:space="preserve">Выпуск продукции (количество) </t>
  </si>
  <si>
    <t>План производства устройств геопозициониования</t>
  </si>
  <si>
    <t>Наименование показателя</t>
  </si>
  <si>
    <t>в том числе:</t>
  </si>
  <si>
    <t>- постоянно</t>
  </si>
  <si>
    <t>- временно</t>
  </si>
  <si>
    <t xml:space="preserve">Среднемесячная зар. плата (тыс. руб.) </t>
  </si>
  <si>
    <t>Расходы на оплату труда (тыс. руб.)</t>
  </si>
  <si>
    <t>Страховые взносы (тыс. руб.)</t>
  </si>
  <si>
    <t>Ставки по заработной плате сотрудников</t>
  </si>
  <si>
    <t>Инженер-сборщик (производство)</t>
  </si>
  <si>
    <t>Инженер-разработчик (R&amp;D)</t>
  </si>
  <si>
    <t>Администратор/секретарь</t>
  </si>
  <si>
    <t>PR-менеджер</t>
  </si>
  <si>
    <t>Менеджер (отдел продаж)</t>
  </si>
  <si>
    <t>Кадровый план (производство устройств геопозиционирования)</t>
  </si>
  <si>
    <t>ЗП, руб.  в мес.</t>
  </si>
  <si>
    <t>Всего - численность работающих (чел.)</t>
  </si>
  <si>
    <t>Начальник отдела продаж</t>
  </si>
  <si>
    <t>Комментарии</t>
  </si>
  <si>
    <t xml:space="preserve"> </t>
  </si>
  <si>
    <t>Вспомогательный персонал</t>
  </si>
  <si>
    <t>Итого за год, ССЧ</t>
  </si>
  <si>
    <t>Средняя цена единицы (руб.)</t>
  </si>
  <si>
    <t>Себестоимость единицы по материалам (руб.)</t>
  </si>
  <si>
    <t>Себестоимость единицы  (руб.)</t>
  </si>
  <si>
    <t>Выручка (руб.)</t>
  </si>
  <si>
    <t>Общий объём выручки ( руб.)</t>
  </si>
  <si>
    <t>Комментарий</t>
  </si>
  <si>
    <t>Пилотная партия, некомеррческое внедрение, R&amp;D, тестирование</t>
  </si>
  <si>
    <t>Партия 10000 ед., наладка сборочного производства</t>
  </si>
  <si>
    <t>Партия 100000 шт., производственная кооперация</t>
  </si>
  <si>
    <t>Раздел</t>
  </si>
  <si>
    <t>Основные статьи</t>
  </si>
  <si>
    <t>Всего</t>
  </si>
  <si>
    <t>Операционная деятельность</t>
  </si>
  <si>
    <t>Расходные:</t>
  </si>
  <si>
    <t>Затраты</t>
  </si>
  <si>
    <t>Прибыль вал.</t>
  </si>
  <si>
    <t>Налоги,%</t>
  </si>
  <si>
    <t>Чист. прибыль</t>
  </si>
  <si>
    <t>ROM</t>
  </si>
  <si>
    <t>ROI</t>
  </si>
  <si>
    <t>%</t>
  </si>
  <si>
    <t>ROI (ЧП)</t>
  </si>
  <si>
    <t>Доходные:</t>
  </si>
  <si>
    <t>FV</t>
  </si>
  <si>
    <t>доход (возврат на инвестиции)</t>
  </si>
  <si>
    <t>PV</t>
  </si>
  <si>
    <t>вложенные инвестиции</t>
  </si>
  <si>
    <t>IRR</t>
  </si>
  <si>
    <t>Т</t>
  </si>
  <si>
    <t>Срок выхода</t>
  </si>
  <si>
    <t>Инвестиционная деятельность</t>
  </si>
  <si>
    <t>Х</t>
  </si>
  <si>
    <t>Мультипликатор</t>
  </si>
  <si>
    <t>Доля инвестора по формуле</t>
  </si>
  <si>
    <t>Стоимость компании в год выхода</t>
  </si>
  <si>
    <t>r</t>
  </si>
  <si>
    <t>Ставка дисконтирования (на основе премий за риск)</t>
  </si>
  <si>
    <t>rf</t>
  </si>
  <si>
    <t>безрисковая процентная ставка (по гос.обл.)</t>
  </si>
  <si>
    <t xml:space="preserve">rp </t>
  </si>
  <si>
    <t>премия за риск за Разработку нового продукта</t>
  </si>
  <si>
    <t>Финансовая деятельность</t>
  </si>
  <si>
    <t>I</t>
  </si>
  <si>
    <t>процент инфляции</t>
  </si>
  <si>
    <t>1+r</t>
  </si>
  <si>
    <t>NPV</t>
  </si>
  <si>
    <t>Чистый дисконтированный доход</t>
  </si>
  <si>
    <t>PP</t>
  </si>
  <si>
    <t>Cрок окупаемости (лет)</t>
  </si>
  <si>
    <t>Внутренняя норма доходности</t>
  </si>
  <si>
    <t>Расчет окупаемости инвестиций (простая) по чистой прибыли</t>
  </si>
  <si>
    <t>Расчет окупаемости инвестиций (без учета грантов)</t>
  </si>
  <si>
    <t>Баланс наличности на начало периода</t>
  </si>
  <si>
    <t>чистый дисконтрованный поток</t>
  </si>
  <si>
    <t>Баланс наличности на конец периода</t>
  </si>
  <si>
    <t>NPV 2</t>
  </si>
  <si>
    <t>по годам</t>
  </si>
  <si>
    <t>Год</t>
  </si>
  <si>
    <t>Приток (P)</t>
  </si>
  <si>
    <t>Отток (Z)</t>
  </si>
  <si>
    <t>Денежный поток CF (P-Z) по кварталам</t>
  </si>
  <si>
    <t>Денежный поток CF (P-Z) годовой</t>
  </si>
  <si>
    <t>Дисконт</t>
  </si>
  <si>
    <r>
      <t>CF (1+r)</t>
    </r>
    <r>
      <rPr>
        <sz val="6"/>
        <color theme="1"/>
        <rFont val="Calibri"/>
        <family val="2"/>
        <scheme val="minor"/>
      </rPr>
      <t>-t</t>
    </r>
  </si>
  <si>
    <t>CF</t>
  </si>
  <si>
    <t>Заработная плата</t>
  </si>
  <si>
    <t>Общехозяйственные расходы</t>
  </si>
  <si>
    <t>Расходные и канцелярские материалы</t>
  </si>
  <si>
    <t>Услуги банков</t>
  </si>
  <si>
    <t>Представительские расходы</t>
  </si>
  <si>
    <t>Коммерческие расходы</t>
  </si>
  <si>
    <t>Упаковка</t>
  </si>
  <si>
    <t>Начисления на заработную плату</t>
  </si>
  <si>
    <t>Комплектующие, материалы</t>
  </si>
  <si>
    <t>Арендная плата</t>
  </si>
  <si>
    <t>Электроэнергия, вода, тепло</t>
  </si>
  <si>
    <t>Текущий ремонт ОС</t>
  </si>
  <si>
    <t>Коммандировки, накладные расходы</t>
  </si>
  <si>
    <t>Траспортировка, логистика</t>
  </si>
  <si>
    <t>Расходы на продвижение и рекламу</t>
  </si>
  <si>
    <t>R&amp;D, защита ИС</t>
  </si>
  <si>
    <t>По квартально, тыс. рублей</t>
  </si>
  <si>
    <t>Другие расходы</t>
  </si>
  <si>
    <t>Общехозяйственные расходы производства:</t>
  </si>
  <si>
    <t>Коммерческие расходы производства:</t>
  </si>
  <si>
    <t>ИТОГО расходные по производству</t>
  </si>
  <si>
    <t>Производство товаров (устройств геопозиционирования):</t>
  </si>
  <si>
    <t>Предоставление услуг (сервис геопозиционирования):</t>
  </si>
  <si>
    <t>Комплектующие, материалы для организации сети</t>
  </si>
  <si>
    <t>Общехозяйственные расходы для организации сервиса:</t>
  </si>
  <si>
    <t>ИТОГО расходные по предоствлению услуг</t>
  </si>
  <si>
    <t>Коммерческие расходы по предоставлению услуг:</t>
  </si>
  <si>
    <t xml:space="preserve">Комплектующие, материалы </t>
  </si>
  <si>
    <t xml:space="preserve">Комментарии по этапам </t>
  </si>
  <si>
    <t>Сборочное производство опытной партии 100 шт., ОКР по доработке</t>
  </si>
  <si>
    <t>Опытное производство первой коммерческой партии 10000 устройств</t>
  </si>
  <si>
    <t>Производство и реализация 100000 устройств</t>
  </si>
  <si>
    <t>Себестоимость единицы по всем затратам (руб.)</t>
  </si>
  <si>
    <t>Себестоимость единицы  по всем затратам (руб.)</t>
  </si>
  <si>
    <t>Валовая прибыль без учета приобр ОС по производству</t>
  </si>
  <si>
    <t>Комментарии по этапам</t>
  </si>
  <si>
    <t>Первые 6 мес - организация локального пилотного проекта на 100 устройств (браслетов) для отработки сервиса, популяризации и подготовки производственного процесса. Вторые 6 месяцев - запуск сборочного производства и запуск сервиса с продажей устройств (браслетов) через учебные заведения (Саратовская область или Москва).</t>
  </si>
  <si>
    <t>При условии запуска пром. производства устройств. Выход на федеральный рынок как социально ориентированного проекта по безопасности передвижения детей. Первоначальная ориентация на сегмент начальных классов в крупных городах РФ, это более 5 млн. человек. Согласно опросам, готовы приобрести устройства для мониторинга - более 60% от опрошенных, т.е. потенциальный рынок - более 3 млн. Цель продаж на 1 год - 6% от этого сегмента (это 1% от общего количества потенциальных пользователей). Необходимы рекомендации для школ от федеральных общественных и гос. организаций (Минобраз). Интеграция в браслеты RFID меток для контроля доступа и оплаты обедов в школах (совместно с поставщиками этих услуг) - как вариант популяризации устройств.</t>
  </si>
  <si>
    <t>Продолжение внедрения сервиса в сегментах детей младшего школьного возраста и выход на сегмент среднего школьного возраста в крупных городах РФ. Цель +1% от общего количества пользователей. Популяризация сервиса как инструмента поисково-спасательных организаций и служб, внедрение мобильных станций обнаружения на базе БС LoRaWAN. Выход в сегменты организаций загородних детских лагаерей, туризма и спортивных мероприятий.</t>
  </si>
  <si>
    <t>Закрепление позиционирования сервиса, как необходимого для безопасности передвижения в городах (через учебные заведения и СМИ). Распостранение сервиса в малых городах и поселках возможно при расширении сетей LoRaWAN за пределы крупных городов, что теоретически прогнозируется. Возможно обустройтсво сетей в таких местах через учебные заведения (за счет оператора сети) или за счет внедрения систем передачи данных от приборов учета электричества (до 2021 года законодательно предусматривается переход на такие смарт-счетчики всех поставщиков электричества), котрые могут работать через такую же сеть LoRaWAN.</t>
  </si>
  <si>
    <t>Закрепление на рынке РФ как оператора сервиса по мониторингу передвижения детей и людей с ОВЗ. Цель минимум - работать на границе 3,3-3,5% от общего количества потенциальных клиентов. Расширение функционала устройства (как в часах, игровые и фитнес функции). Дальнейшие пути развития - медицина (мониторинг за пациентами), сельское хозяйство (мониторинг за выпасом КРС), охотничьи хозяйства (мониторинг собак)и т.д.</t>
  </si>
  <si>
    <t>Кадровый план (предоставление услуг сервиса геопозиционирования)</t>
  </si>
  <si>
    <t>Общая выручка предприятия от реализации услуг</t>
  </si>
  <si>
    <t>Общая выручка с производства (продажи устройств)</t>
  </si>
  <si>
    <t>Валовая прибыль без учета приобр ОС по услугам</t>
  </si>
  <si>
    <t>Налоги (14% подоходный)</t>
  </si>
  <si>
    <t>Налоги (относительный учет НДС)</t>
  </si>
  <si>
    <t>Выручка от продаж продукта и услуг, всего</t>
  </si>
  <si>
    <t>Приобретение и монтаж оборудования</t>
  </si>
  <si>
    <t>Покупка мебели и офисной техники</t>
  </si>
  <si>
    <t>Приобретение зданий и/или ремонт помещений</t>
  </si>
  <si>
    <t>Приобретение финансовых и инвест.активов</t>
  </si>
  <si>
    <t>Продажа станков, оборудования, мебели</t>
  </si>
  <si>
    <t>Продажа финансовых и инвестиционных активов</t>
  </si>
  <si>
    <t>Выплата процентов по кредитам и займам</t>
  </si>
  <si>
    <t>Выплата дивидендов</t>
  </si>
  <si>
    <t>Возврат кредитов, займов и инвестиций</t>
  </si>
  <si>
    <t>Лизинговые платежи</t>
  </si>
  <si>
    <t>Получение кредитов и займов</t>
  </si>
  <si>
    <t>Получение инвестиций (на производство)</t>
  </si>
  <si>
    <t>Получение инвестиций (на развитие сети)</t>
  </si>
  <si>
    <t>Самофинансирование</t>
  </si>
  <si>
    <t>Получение целевого финансирования</t>
  </si>
  <si>
    <t>Венчурные инвестиции (увеличение уставного кап.)</t>
  </si>
  <si>
    <t>Опер. расходы по производству и орган. сервиса, всего</t>
  </si>
  <si>
    <t>1 год</t>
  </si>
  <si>
    <t>2 год</t>
  </si>
  <si>
    <t>3 год</t>
  </si>
  <si>
    <t>Выручка (за 3 года)</t>
  </si>
  <si>
    <t>Показатель</t>
  </si>
  <si>
    <t>Значение</t>
  </si>
  <si>
    <t>Основные средства</t>
  </si>
  <si>
    <t>Производство</t>
  </si>
  <si>
    <t>Оказание услуг (сервис геопозиционирования)</t>
  </si>
  <si>
    <t>Оборудование:</t>
  </si>
  <si>
    <t>Здания/помещения, их ремонт</t>
  </si>
  <si>
    <t>Оснащение рабочего места (техника, мебель):</t>
  </si>
  <si>
    <t>Компьютер с периферией</t>
  </si>
  <si>
    <t>ИП/генератор</t>
  </si>
  <si>
    <t>Осциллограф</t>
  </si>
  <si>
    <t>Паяльная станция</t>
  </si>
  <si>
    <t>Мультиметр</t>
  </si>
  <si>
    <t>Мебель</t>
  </si>
  <si>
    <t>Струбцина, лампа, прочие расходные материалы</t>
  </si>
  <si>
    <t>Стоимость, тыс.руб.</t>
  </si>
  <si>
    <t>План приобретения ОС, в квартал, тыс. рублей</t>
  </si>
  <si>
    <t>Инженер</t>
  </si>
  <si>
    <t>Портативный радиочастотный анализатор спектра</t>
  </si>
  <si>
    <t>Офисное помещение (CEO)</t>
  </si>
  <si>
    <t>Офисное помещение (R&amp;D)</t>
  </si>
  <si>
    <t>Производственное помещение (сборочное)</t>
  </si>
  <si>
    <t>Складское помещение</t>
  </si>
  <si>
    <t>Оборуд. для сбор. производства (инструмент, лотки и т.д.)</t>
  </si>
  <si>
    <t>Ноутбук</t>
  </si>
  <si>
    <t>Складское оборудование (стелажи, мебель)</t>
  </si>
  <si>
    <t xml:space="preserve">Осциллограф до 3 ГГц </t>
  </si>
  <si>
    <t>Серверное оборудование</t>
  </si>
  <si>
    <t>Кондиционер/обогрев (серверная)</t>
  </si>
  <si>
    <t>Офисное помещение (R&amp;D, программисты)</t>
  </si>
  <si>
    <t>Офисное помещение (отдел продаж)</t>
  </si>
  <si>
    <t>Серверная</t>
  </si>
  <si>
    <t>Вспомогательный персонал (кладовщик, сборщик и т.д.)</t>
  </si>
  <si>
    <t>Здания/помещения, их ремонт:</t>
  </si>
  <si>
    <t>ОС для производства, всего</t>
  </si>
  <si>
    <t>ОС для сервиса, всего</t>
  </si>
  <si>
    <t>Основные средства предприятия (движение ОС)</t>
  </si>
  <si>
    <t>Покупка мебели и техники для рабочих мест</t>
  </si>
  <si>
    <t>внутренняя норма рентабельности (для инв)</t>
  </si>
  <si>
    <t>Коэф. риска по расх. (возврат, склад. остатки, неплатежи)</t>
  </si>
  <si>
    <t xml:space="preserve">Индекс </t>
  </si>
  <si>
    <t>TC</t>
  </si>
  <si>
    <t>PQ</t>
  </si>
  <si>
    <t>GP</t>
  </si>
  <si>
    <t>Коэф.рентабельности продукции</t>
  </si>
  <si>
    <t>Показатели финансового анализа тнвестиционного проекта</t>
  </si>
  <si>
    <t>Безрисковая процентная ставка (по гос.обл.)</t>
  </si>
  <si>
    <t>Премия за риск (внедрение нового продукта)</t>
  </si>
  <si>
    <t>Процент инфляции</t>
  </si>
  <si>
    <t>Ставка дисконтирования:</t>
  </si>
  <si>
    <t>Расчет окупаемости инвестиций (простой) по ЧП</t>
  </si>
  <si>
    <t>Инвестиции вложенные</t>
  </si>
  <si>
    <t>Предложение инвестору:</t>
  </si>
  <si>
    <t>Доля инвестора (через продажу долей)</t>
  </si>
  <si>
    <t>Срок выхода по опциону (если есть), лет</t>
  </si>
  <si>
    <t>Cрок окупаемости, лет</t>
  </si>
  <si>
    <t xml:space="preserve">Среднемесячная зар. плата (руб.) </t>
  </si>
  <si>
    <t>Расходы на оплату труда (руб.)</t>
  </si>
  <si>
    <t>Страховые взносы (руб.)</t>
  </si>
  <si>
    <t>ОС и прочее (другие расходы)</t>
  </si>
  <si>
    <t>Начальник производства</t>
  </si>
  <si>
    <t>CEO Генеральный директор</t>
  </si>
  <si>
    <t>Руководитель сервиса</t>
  </si>
  <si>
    <t>Экономические показатели проекта (прогноз на период - 3года)</t>
  </si>
  <si>
    <t>Выручка, тыс. руб.</t>
  </si>
  <si>
    <t>Затраты, тыс. руб.</t>
  </si>
  <si>
    <t>Валовая прибыль, тыс. руб.</t>
  </si>
  <si>
    <t>Налоги, тыс. руб.</t>
  </si>
  <si>
    <t>Чистая прибыль, тыс. руб.</t>
  </si>
  <si>
    <t>Содержание</t>
  </si>
  <si>
    <t>Раздел "Производство" - Оценка себестоимости производства устройств геопозиционирования по комплектующим в зависимости от формы производства и тиража.</t>
  </si>
  <si>
    <t>Раздел "Производство" - Кадровый план в части организации производства (по месяцам развития проекта)</t>
  </si>
  <si>
    <t>Раздел "Общее" - Движение по статье "Основные средства предприятия"  в разбивке по "Услугам" и "Производству".</t>
  </si>
  <si>
    <t>Раздел "Общее" - Основные экономиеские показатели проекта и инвестиционное предложение.</t>
  </si>
  <si>
    <t>Раздел "Константы" - данные для "Кадрового плана"</t>
  </si>
  <si>
    <t>Revenue&amp;costs услуга</t>
  </si>
  <si>
    <t>Total услуга</t>
  </si>
  <si>
    <t>Кпуслуга</t>
  </si>
  <si>
    <t>Скпроизв</t>
  </si>
  <si>
    <t>Кппроизв</t>
  </si>
  <si>
    <t>План производства</t>
  </si>
  <si>
    <t>Раздел "Производство" - План производства устройств геопозициониования (по месяцам развития проекта)</t>
  </si>
  <si>
    <t xml:space="preserve">Раздел "Общее" - Основной расчет денежного потока по проекту в разбивке по "Услугам" и "Производству" (по кварталам). </t>
  </si>
  <si>
    <t>Движение ОС</t>
  </si>
  <si>
    <t>Ден поток</t>
  </si>
  <si>
    <t>Индексы Инв</t>
  </si>
  <si>
    <t>Кадры, ставки ЗП</t>
  </si>
  <si>
    <t>Финансовый план (с разбивкой на "Услуги" и "Производство")</t>
  </si>
  <si>
    <t>Indicator</t>
  </si>
  <si>
    <t xml:space="preserve">Index </t>
  </si>
  <si>
    <t>Value</t>
  </si>
  <si>
    <t>Revenue, ths rub</t>
  </si>
  <si>
    <t>Profitability ratio, %</t>
  </si>
  <si>
    <t>Cost, ths rub</t>
  </si>
  <si>
    <t>Gross profit, ths rub</t>
  </si>
  <si>
    <t>Taxes, ths rub</t>
  </si>
  <si>
    <t>Net profit, ths rub</t>
  </si>
  <si>
    <t>Financial analysis indicators of investment project</t>
  </si>
  <si>
    <t>Discount rate:</t>
  </si>
  <si>
    <t>Risk-free interest rate</t>
  </si>
  <si>
    <t xml:space="preserve">Risk award  </t>
  </si>
  <si>
    <t>Inflation</t>
  </si>
  <si>
    <t>Net present value</t>
  </si>
  <si>
    <t>Payback period, years</t>
  </si>
  <si>
    <t>Internal rate of return</t>
  </si>
  <si>
    <t>Return on investment</t>
  </si>
  <si>
    <t>Offer to investor:</t>
  </si>
  <si>
    <t>investments</t>
  </si>
  <si>
    <t>Investor's share</t>
  </si>
  <si>
    <t>Investor exit option, years</t>
  </si>
  <si>
    <t>Multiplier</t>
  </si>
  <si>
    <t>Body</t>
  </si>
  <si>
    <t>Charging device</t>
  </si>
  <si>
    <t>Strap</t>
  </si>
  <si>
    <t>Logistics and sorting out</t>
  </si>
  <si>
    <t>Name</t>
  </si>
  <si>
    <t>Pilot, pcs</t>
  </si>
  <si>
    <t>Number, pcs</t>
  </si>
  <si>
    <t>Cost per one, rub</t>
  </si>
  <si>
    <t>Total cost, rub</t>
  </si>
  <si>
    <t>Batch cost, rub</t>
  </si>
  <si>
    <t>Год развития</t>
  </si>
  <si>
    <t>Номинал</t>
  </si>
  <si>
    <t>Позиционное обозначение</t>
  </si>
  <si>
    <t>Тип</t>
  </si>
  <si>
    <t>Дополнительная информация</t>
  </si>
  <si>
    <t>Кол-во</t>
  </si>
  <si>
    <t>Паек</t>
  </si>
  <si>
    <t>Стоимость 1.000 штук(руб)</t>
  </si>
  <si>
    <t>Общая стоимость элементов  1.000 штук (руб)</t>
  </si>
  <si>
    <t>Стоимость 1.000 за штуку($)</t>
  </si>
  <si>
    <t>Стоимость 10.000 за штуку(руб)</t>
  </si>
  <si>
    <t>Общая стоимость элементов  10.000 штук (руб)</t>
  </si>
  <si>
    <t>Стоимость 10.000 за штуку($)</t>
  </si>
  <si>
    <t>Стоимость 50.000 за штуку(руб)</t>
  </si>
  <si>
    <t>Общая стоимость элементов  50.000 штук (руб)</t>
  </si>
  <si>
    <t>Стоимость 50.000 за штуку($)</t>
  </si>
  <si>
    <t xml:space="preserve">Сроки </t>
  </si>
  <si>
    <t>Поставщик (ссылка)</t>
  </si>
  <si>
    <t>Компоненты для монтажа</t>
  </si>
  <si>
    <t>Конденсаторы</t>
  </si>
  <si>
    <t>2.2 мкФ</t>
  </si>
  <si>
    <t>C1,C3,С16</t>
  </si>
  <si>
    <t>SMD 0402</t>
  </si>
  <si>
    <t>Даташит в приложении</t>
  </si>
  <si>
    <t>18 недель</t>
  </si>
  <si>
    <t>https://ru.mouser.com/ProductDetail/Murata-Electronics/GRM155R6YA225KE11D?qs=sGAEpiMZZMsh%252B1woXyUXj5mv%252BAJIhM7N1zmDI2vtbEo%3D</t>
  </si>
  <si>
    <t>10 мкФ</t>
  </si>
  <si>
    <t>С5</t>
  </si>
  <si>
    <t>https://ru.mouser.com/ProductDetail/Murata-Electronics/GRM155C80G106ME44D?qs=T3oQrply3y9851rB85WA8A%3D%3D</t>
  </si>
  <si>
    <t>4.7 мкФ</t>
  </si>
  <si>
    <t>C4,C6,C15</t>
  </si>
  <si>
    <t>11 недель</t>
  </si>
  <si>
    <t>https://ru.mouser.com/ProductDetail/Murata-Electronics/GRM155R61A475MEAAD?qs=AEetWsPH0IuXrVCc8yqzOA%3D%3D</t>
  </si>
  <si>
    <t>0.1 мкФ</t>
  </si>
  <si>
    <t>C2</t>
  </si>
  <si>
    <t>https://ru.mouser.com/ProductDetail/Murata-Electronics/GRM155R61H104KE19D?qs=sGAEpiMZZMsh%252B1woXyUXj1sgm%252BdNxBysNLRd4qUviQU%3D</t>
  </si>
  <si>
    <t>6 пФ</t>
  </si>
  <si>
    <t>С8,C7</t>
  </si>
  <si>
    <t>https://ru.mouser.com/ProductDetail/Murata-Electronics/GRM1555C2AR60BA01D?qs=vCoBJ5OiJk7tee5nEeJsIA%3D%3D</t>
  </si>
  <si>
    <t>33 пФ</t>
  </si>
  <si>
    <t>C10</t>
  </si>
  <si>
    <t>https://ru.mouser.com/ProductDetail/Murata-Electronics/GRM1555C1H330GA01J?qs=ouTquLLW2S5YN35c6U5cQA%3D%3D</t>
  </si>
  <si>
    <t>47 пФ</t>
  </si>
  <si>
    <t>C13</t>
  </si>
  <si>
    <t>23 недели</t>
  </si>
  <si>
    <t>https://ru.mouser.com/ProductDetail/Murata-Electronics/GRM1555C1ER47BA01J?qs=QzBtWTOodeX%252BRE6GGcUCkQ%3D%3D</t>
  </si>
  <si>
    <t>Резисторы</t>
  </si>
  <si>
    <t>47К</t>
  </si>
  <si>
    <t>R1</t>
  </si>
  <si>
    <t>20 недель</t>
  </si>
  <si>
    <t>https://ru.mouser.com/ProductDetail/Vishay-Dale/CRCW040247K0FKEDC?qs=E3Y5ESvWgWPGZR8%252BSR%252BLBA%3D%3D</t>
  </si>
  <si>
    <t>10К</t>
  </si>
  <si>
    <t>R2</t>
  </si>
  <si>
    <t>https://ru.mouser.com/ProductDetail/Vishay-Dale/CRCW040210K0FKEDC?qs=E3Y5ESvWgWPiNLcGzwCGPg%3D%3D</t>
  </si>
  <si>
    <t>330R</t>
  </si>
  <si>
    <t>R3,R4</t>
  </si>
  <si>
    <t>https://ru.mouser.com/ProductDetail/Vishay-Dale/CRCW0402330RFKEDC?qs=E3Y5ESvWgWNqcLE1pkQokQ%3D%3D</t>
  </si>
  <si>
    <t>1K</t>
  </si>
  <si>
    <t>R5</t>
  </si>
  <si>
    <t>https://ru.mouser.com/ProductDetail/Vishay-Dale/CRCW04021K00FKEDC?qs=E3Y5ESvWgWMj5mY%252BhDIyqg%3D%3D</t>
  </si>
  <si>
    <t>100K</t>
  </si>
  <si>
    <t>R6</t>
  </si>
  <si>
    <t>https://ru.mouser.com/ProductDetail/Vishay-Dale/CRCW0402100KFKEDC?qs=E3Y5ESvWgWPiKlL6PvtQMQ%3D%3D</t>
  </si>
  <si>
    <t>200K</t>
  </si>
  <si>
    <t>R7</t>
  </si>
  <si>
    <t>https://ru.mouser.com/ProductDetail/Vishay-Dale/CRCW0402200KFKEDC?qs=E3Y5ESvWgWMCMks3h5Tv0w%3D%3D</t>
  </si>
  <si>
    <t>Светодиоды</t>
  </si>
  <si>
    <t>RED LED TO-1608BC-MRE_9201T098</t>
  </si>
  <si>
    <t>D7</t>
  </si>
  <si>
    <t>SMD 1608</t>
  </si>
  <si>
    <t>Светодиод красный</t>
  </si>
  <si>
    <t>4 недели</t>
  </si>
  <si>
    <t>https://ru.mouser.com/ProductDetail/Wurth-Elektronik/150060RS75000?qs=LlUlMxKIyB3QnmZ3fw%2FVCA%3D%3D</t>
  </si>
  <si>
    <t>BLUE LED  TO-1608BC-BF</t>
  </si>
  <si>
    <t>D8</t>
  </si>
  <si>
    <t>Светодиод синий</t>
  </si>
  <si>
    <t>13 недель</t>
  </si>
  <si>
    <t>https://ru.mouser.com/ProductDetail/Wurth-Elektronik/150060BS75000?qs=LlUlMxKIyB2DLLpXQThavA%3D%3D</t>
  </si>
  <si>
    <t>Микросхемы</t>
  </si>
  <si>
    <t>S76G</t>
  </si>
  <si>
    <t>D1</t>
  </si>
  <si>
    <t>SMD</t>
  </si>
  <si>
    <t>16-25  недель</t>
  </si>
  <si>
    <t>https://www.euromobile.ru/produkciya/lora-moduli/s76g/</t>
  </si>
  <si>
    <t>XC6210B332MR-G</t>
  </si>
  <si>
    <t>D3</t>
  </si>
  <si>
    <t>https://ru.mouser.com/ProductDetail/Torex-Semiconductor/XC6210B332MR-G?qs=AsjdqWjXhJ%2FS4LOuBYdYHQ%3D%3D</t>
  </si>
  <si>
    <t>XC6210B182MR-G</t>
  </si>
  <si>
    <t>D4</t>
  </si>
  <si>
    <t>8 недель</t>
  </si>
  <si>
    <t>https://ru.mouser.com/ProductDetail/Torex-Semiconductor/XC6210B182MR-G?qs=AsjdqWjXhJ%2FyaMgAAl3B5g%3D%3D</t>
  </si>
  <si>
    <t>NT2016SA-26MHZ-NBG2</t>
  </si>
  <si>
    <t>D5</t>
  </si>
  <si>
    <t>NT2016SA</t>
  </si>
  <si>
    <t>15 недель</t>
  </si>
  <si>
    <t>https://ru.mouser.com/ProductDetail/NDK/NT2016SA-26000000MHZ-NBG2?qs=w%2Fv1CP2dgqq%252BPwkA9d27AQ%3D%3D</t>
  </si>
  <si>
    <t>ZM2012-32.768-9-20/150/E</t>
  </si>
  <si>
    <t>D6</t>
  </si>
  <si>
    <t>-</t>
  </si>
  <si>
    <t>http://www.quartz1.com/price/type.php?group=430&amp;type=SMD02012C2&amp;p1=32,768</t>
  </si>
  <si>
    <t>LTC4054</t>
  </si>
  <si>
    <t>?</t>
  </si>
  <si>
    <t>TSOT-23</t>
  </si>
  <si>
    <t>10 недель</t>
  </si>
  <si>
    <t>https://ru.mouser.com/ProductDetail/Analog-Devices-Linear-Technology/LTC4054ES5-42TRPBF?qs=hVkxg5c3xu8h%2FLqmkBbr%252Bg%3D%3D</t>
  </si>
  <si>
    <t>Разьемы для антенн</t>
  </si>
  <si>
    <t>MHF 4 SMT Plug</t>
  </si>
  <si>
    <t>MHF4Plug</t>
  </si>
  <si>
    <t>https://www.i-pex.com/product/mhf-4-smt</t>
  </si>
  <si>
    <t>MHF 4 Receptacle</t>
  </si>
  <si>
    <t>MHF4Rec</t>
  </si>
  <si>
    <t>Датчик снятия</t>
  </si>
  <si>
    <t>MAX30102EFD+T</t>
  </si>
  <si>
    <t>MAX</t>
  </si>
  <si>
    <t>22 недели</t>
  </si>
  <si>
    <t>https://ru.mouser.com/ProductDetail/Maxim-Integrated/MAX30102EFD%2bT?qs=nVS1qgv%252BQrkHA4%2FoFYriFA%3D%3D</t>
  </si>
  <si>
    <t>Кнопки</t>
  </si>
  <si>
    <t>IT-1184-160G-G</t>
  </si>
  <si>
    <t>SW1</t>
  </si>
  <si>
    <t>http://www.rct.ru/warehouse/13443/80028483.html</t>
  </si>
  <si>
    <t xml:space="preserve"> 5x13x35</t>
  </si>
  <si>
    <t>1 неделя</t>
  </si>
  <si>
    <t>https://www.barkode.ru/catalog/473/55368/?utm_source=market_bar_msk&amp;utm_term=55368&amp;ymclid=15900596471754525528900002</t>
  </si>
  <si>
    <t>Всего за 1 шт</t>
  </si>
  <si>
    <t>Всего от колличества</t>
  </si>
  <si>
    <t>Всего от колличества c учетом сборки</t>
  </si>
  <si>
    <t>Всего от колличества c учетом сборки и изготовления печатных плат</t>
  </si>
  <si>
    <t>Итого за шт</t>
  </si>
  <si>
    <t>Альтернативные поставщики</t>
  </si>
  <si>
    <t>Курс доллара</t>
  </si>
  <si>
    <t>3 недели</t>
  </si>
  <si>
    <t>https://www.telemetrya.ru/catalog/optoelektronika/to_1608bc_bf_svetodiod_siniy_smd_1608_247mkd_120_468nm_blue/</t>
  </si>
  <si>
    <t>Колличество штук для производства</t>
  </si>
  <si>
    <t>https://techship.com/products/acsip-lorawan-gps-sip-module-s76g/</t>
  </si>
  <si>
    <t>Стоимость сборки и упаковки</t>
  </si>
  <si>
    <t>https://www.everythingrf.com/products/connectors/i-pex-connectors/63-1394-20462-001e</t>
  </si>
  <si>
    <t xml:space="preserve">Стоимость 1 шт изготовления печатных плат 1000 шт </t>
  </si>
  <si>
    <t>https://www.yoycart.com/Product/18744475307/</t>
  </si>
  <si>
    <t>Стоимость 1 шт изготовления печатных плат 10000 шт</t>
  </si>
  <si>
    <t>Стоимость 1 шт изготовления печатных плат 50000 шт</t>
  </si>
  <si>
    <t>Изготовления печатных плат  (https://www.rezonit.ru/pcb/serial/)</t>
  </si>
  <si>
    <t>Пайка (https://www.rezonit.ru/assembly/)</t>
  </si>
  <si>
    <t>Электронные комплектующие</t>
  </si>
  <si>
    <t>Печатная плата (изготовление)</t>
  </si>
  <si>
    <t>Сборка печ платы (распайка)</t>
  </si>
  <si>
    <t>Сборка устройства/прошивка</t>
  </si>
  <si>
    <t>Себестоимость по комплектующим + сборка оутсорс</t>
  </si>
  <si>
    <t>Наименование комплектующих/операции</t>
  </si>
  <si>
    <t>Оценка стоимости комплектующих, необходимых для выпуска пилотной партии и массового производства (оутсорс) в РФ</t>
  </si>
  <si>
    <t>Первые 6 месяцев - R&amp;D, прототипирование, опытная партия устройств (до 50 шт.), запуск экспериментального пилотного проекта, подготовка технологической карты для сборочного производства.  KPI инженера-сборщика в этот период- 1 изделие в 1 час с учетом тестирования и упаковки. Задача на этап пилота - 100 изделий + тестирование + доработки + запуск сборочноого производства - 6 месяцев. Последующие 6 месяцев - выпуск 10000 изделий.  KPI инженера-сборщика - 4 изделия в час с тестированием и упаковкой без учета брака. Цель - со 2 года - 200000 изделий в год.</t>
  </si>
  <si>
    <t>CCO Исполнительный директор/руководитель проекта</t>
  </si>
  <si>
    <t>Первые 6 месяцев - R&amp;D, протип сервиса, локальный пилотный проект, отработка багов, настройка, доработка сервиса. Без абон. платы. Последующие 6 месяцев - внедрение регионального пилота на 10000 пользователей.  Цель на 2 и 3 годы - по 200000 пользователей в год на рынке РФ.</t>
  </si>
  <si>
    <t xml:space="preserve">МФУ, сетевое оборудование </t>
  </si>
  <si>
    <t>Комплект БС LoRaWAN  (БС+антенна+защита+кронш)</t>
  </si>
  <si>
    <t>Программист / team leader</t>
  </si>
  <si>
    <t>НАПРАВЛЕНИЯ ПРОДАЖ</t>
  </si>
  <si>
    <t>(факт)</t>
  </si>
  <si>
    <t>(план)</t>
  </si>
  <si>
    <t>Общий объем продаж, тыс. руб.</t>
  </si>
  <si>
    <t>Продажи устройств геопозиционирования</t>
  </si>
  <si>
    <t>Продажа услуг сервиса</t>
  </si>
  <si>
    <t>Страны</t>
  </si>
  <si>
    <t>РФ</t>
  </si>
  <si>
    <t>Ближнее зарубежье (Казахстан, Украина)</t>
  </si>
  <si>
    <t>Страны ЕС</t>
  </si>
  <si>
    <t xml:space="preserve">№ </t>
  </si>
  <si>
    <t>Статья расходов</t>
  </si>
  <si>
    <t>Запланированные по Смете расходы, руб.</t>
  </si>
  <si>
    <t>Этап 1</t>
  </si>
  <si>
    <t>ИТОГО</t>
  </si>
  <si>
    <t>1.</t>
  </si>
  <si>
    <t>Капитальные затраты</t>
  </si>
  <si>
    <t>2.</t>
  </si>
  <si>
    <t>Затраты на расходные материалы</t>
  </si>
  <si>
    <t>3.</t>
  </si>
  <si>
    <t>Фонд оплаты труда</t>
  </si>
  <si>
    <t>4.</t>
  </si>
  <si>
    <t>Прочие расходы</t>
  </si>
  <si>
    <t>Включая:</t>
  </si>
  <si>
    <t xml:space="preserve">    4.1</t>
  </si>
  <si>
    <t>Расходы на услуги (работы) третьих лиц, в том числе:</t>
  </si>
  <si>
    <t xml:space="preserve">   4.2</t>
  </si>
  <si>
    <t>Расходы на аренду помещения</t>
  </si>
  <si>
    <t xml:space="preserve">   4.3</t>
  </si>
  <si>
    <t xml:space="preserve">ИТОГО РАСХОДОВ ПО ЭТАПУ: </t>
  </si>
  <si>
    <t>на разработку промышленного дизайна устройства</t>
  </si>
  <si>
    <t>на разработку мобильного приложения сервиса (iOS, Android)</t>
  </si>
  <si>
    <t>Расходы на коммандировки</t>
  </si>
  <si>
    <t>Расходы на банковское обслуживание</t>
  </si>
  <si>
    <t>Расходы на канцелярские, расходные материалы</t>
  </si>
  <si>
    <t>Расходы на транспортировку, логистику</t>
  </si>
  <si>
    <t>Расходы на бухгалтерское обслуживание</t>
  </si>
  <si>
    <t>Аппаратно-програмный комплекс (сервис) контроля перемещений и состояния здоровья людей в условиях карантина или в зонах повышенной опасности для здоровья</t>
  </si>
  <si>
    <t>Раздел  "Услуги" - Расчет затрат и доходов по организации предоставления услуг (сервиса)  (в части развития клиентской базы по годам развития проекта)</t>
  </si>
  <si>
    <t>Раздел  "Услуги" - Динамика выручки и дохода в части предоставления услуг сервиса геопозиционирования   (по годам развития проекта)</t>
  </si>
  <si>
    <t>Раздел  "Услуги" - Кадровый план в части предоставления услуг сервиса геопозиционирования  (по месяцам развития проекта)</t>
  </si>
  <si>
    <t>Содержимое данного файла (расчеты, таблицы) является собственностю ООО "Не теряйся". 2020.</t>
  </si>
  <si>
    <t xml:space="preserve">Затраты и доходы по организации предоставления услуг (сервиса) </t>
  </si>
  <si>
    <t>Динамика выручки и дохода по части предоставления услуг сервиса геопозиционирования (без производственной части проекта и учета приобретения ОС)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</si>
</sst>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₽&quot;;[Red]\-#,##0\ &quot;₽&quot;"/>
    <numFmt numFmtId="8" formatCode="#,##0.00\ &quot;₽&quot;;[Red]\-#,##0.00\ &quot;₽&quot;"/>
    <numFmt numFmtId="164" formatCode="0.0"/>
    <numFmt numFmtId="165" formatCode="#,##0.00&quot;р.&quot;;[Red]\-#,##0.00&quot;р.&quot;"/>
    <numFmt numFmtId="166" formatCode="_(* #,##0.00_);_(* \(#,##0.00\);_(* \-??_);_(@_)"/>
    <numFmt numFmtId="167" formatCode="#,##0\ &quot;₽&quot;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 (Основной текст)"/>
      <charset val="204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sz val="14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10"/>
      <color rgb="FF000000"/>
      <name val="Tahoma"/>
      <family val="2"/>
      <charset val="204"/>
    </font>
    <font>
      <sz val="10"/>
      <color theme="9" tint="0.3999755851924192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Helvetica Neue"/>
      <family val="2"/>
    </font>
    <font>
      <sz val="11"/>
      <color theme="1"/>
      <name val="Helvetica Neue"/>
      <family val="2"/>
    </font>
    <font>
      <b/>
      <sz val="11"/>
      <color theme="1"/>
      <name val="Helvetica Neue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Helvetica Neue"/>
      <family val="2"/>
    </font>
  </fonts>
  <fills count="3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rgb="FFFFF2CC"/>
      </patternFill>
    </fill>
    <fill>
      <patternFill patternType="solid">
        <fgColor theme="8" tint="0.59999389629810485"/>
        <bgColor rgb="FFFCE5CD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3D69B"/>
        <bgColor rgb="FFB7DEE8"/>
      </patternFill>
    </fill>
    <fill>
      <patternFill patternType="solid">
        <fgColor rgb="FFFFFFFF"/>
        <bgColor rgb="FFF3F3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DE97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Border="0" applyProtection="0"/>
    <xf numFmtId="0" fontId="7" fillId="0" borderId="0" applyNumberFormat="0" applyFill="0" applyBorder="0" applyAlignment="0" applyProtection="0"/>
  </cellStyleXfs>
  <cellXfs count="445">
    <xf numFmtId="0" fontId="0" fillId="0" borderId="0" xfId="0"/>
    <xf numFmtId="0" fontId="0" fillId="3" borderId="0" xfId="0" applyFill="1"/>
    <xf numFmtId="3" fontId="0" fillId="0" borderId="0" xfId="0" applyNumberFormat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7" xfId="0" applyBorder="1"/>
    <xf numFmtId="0" fontId="3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6" borderId="12" xfId="0" applyNumberFormat="1" applyFont="1" applyFill="1" applyBorder="1"/>
    <xf numFmtId="0" fontId="1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0" fillId="0" borderId="13" xfId="0" applyBorder="1"/>
    <xf numFmtId="3" fontId="0" fillId="0" borderId="14" xfId="0" applyNumberFormat="1" applyBorder="1"/>
    <xf numFmtId="0" fontId="0" fillId="3" borderId="1" xfId="0" applyFill="1" applyBorder="1"/>
    <xf numFmtId="0" fontId="0" fillId="3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0" fillId="0" borderId="17" xfId="0" applyNumberFormat="1" applyBorder="1"/>
    <xf numFmtId="9" fontId="0" fillId="3" borderId="16" xfId="0" applyNumberFormat="1" applyFill="1" applyBorder="1"/>
    <xf numFmtId="0" fontId="0" fillId="0" borderId="19" xfId="0" applyBorder="1" applyAlignment="1">
      <alignment horizontal="center" vertical="center"/>
    </xf>
    <xf numFmtId="0" fontId="0" fillId="0" borderId="8" xfId="0" applyFont="1" applyBorder="1"/>
    <xf numFmtId="3" fontId="0" fillId="8" borderId="2" xfId="0" applyNumberFormat="1" applyFill="1" applyBorder="1"/>
    <xf numFmtId="3" fontId="0" fillId="9" borderId="2" xfId="0" applyNumberFormat="1" applyFill="1" applyBorder="1"/>
    <xf numFmtId="0" fontId="0" fillId="0" borderId="9" xfId="0" applyFont="1" applyBorder="1"/>
    <xf numFmtId="3" fontId="0" fillId="8" borderId="1" xfId="0" applyNumberFormat="1" applyFill="1" applyBorder="1"/>
    <xf numFmtId="10" fontId="2" fillId="8" borderId="1" xfId="0" applyNumberFormat="1" applyFont="1" applyFill="1" applyBorder="1" applyAlignment="1">
      <alignment vertical="center"/>
    </xf>
    <xf numFmtId="0" fontId="6" fillId="0" borderId="9" xfId="0" applyFont="1" applyBorder="1"/>
    <xf numFmtId="0" fontId="6" fillId="0" borderId="1" xfId="0" applyFont="1" applyBorder="1"/>
    <xf numFmtId="3" fontId="6" fillId="0" borderId="1" xfId="0" applyNumberFormat="1" applyFont="1" applyBorder="1"/>
    <xf numFmtId="3" fontId="6" fillId="0" borderId="4" xfId="0" applyNumberFormat="1" applyFont="1" applyBorder="1"/>
    <xf numFmtId="0" fontId="0" fillId="0" borderId="5" xfId="0" applyFont="1" applyBorder="1"/>
    <xf numFmtId="10" fontId="2" fillId="8" borderId="6" xfId="0" applyNumberFormat="1" applyFont="1" applyFill="1" applyBorder="1" applyAlignment="1">
      <alignment vertical="center"/>
    </xf>
    <xf numFmtId="3" fontId="0" fillId="8" borderId="17" xfId="0" applyNumberFormat="1" applyFill="1" applyBorder="1"/>
    <xf numFmtId="0" fontId="0" fillId="0" borderId="0" xfId="0" applyFont="1" applyAlignment="1">
      <alignment horizontal="left" indent="5"/>
    </xf>
    <xf numFmtId="0" fontId="5" fillId="0" borderId="0" xfId="0" applyFont="1"/>
    <xf numFmtId="0" fontId="0" fillId="0" borderId="1" xfId="0" applyBorder="1"/>
    <xf numFmtId="0" fontId="0" fillId="0" borderId="0" xfId="0" applyFont="1"/>
    <xf numFmtId="0" fontId="0" fillId="0" borderId="1" xfId="0" applyFont="1" applyBorder="1"/>
    <xf numFmtId="0" fontId="0" fillId="11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" fontId="0" fillId="3" borderId="1" xfId="0" applyNumberFormat="1" applyFont="1" applyFill="1" applyBorder="1"/>
    <xf numFmtId="1" fontId="0" fillId="0" borderId="1" xfId="0" applyNumberFormat="1" applyFont="1" applyBorder="1"/>
    <xf numFmtId="1" fontId="0" fillId="0" borderId="1" xfId="0" applyNumberFormat="1" applyFont="1" applyFill="1" applyBorder="1"/>
    <xf numFmtId="1" fontId="0" fillId="6" borderId="1" xfId="0" applyNumberFormat="1" applyFill="1" applyBorder="1" applyAlignment="1">
      <alignment horizontal="center"/>
    </xf>
    <xf numFmtId="0" fontId="10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0" fillId="0" borderId="1" xfId="0" applyFill="1" applyBorder="1"/>
    <xf numFmtId="0" fontId="11" fillId="12" borderId="1" xfId="0" applyFont="1" applyFill="1" applyBorder="1" applyAlignment="1">
      <alignment horizontal="center" vertical="center" wrapText="1"/>
    </xf>
    <xf numFmtId="0" fontId="11" fillId="10" borderId="1" xfId="0" applyFont="1" applyFill="1" applyBorder="1"/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justify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justify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9" fillId="12" borderId="23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0" fillId="0" borderId="23" xfId="0" applyFont="1" applyBorder="1" applyAlignment="1">
      <alignment horizontal="center" vertical="center" wrapText="1"/>
    </xf>
    <xf numFmtId="1" fontId="10" fillId="0" borderId="2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13" borderId="24" xfId="0" applyFont="1" applyFill="1" applyBorder="1" applyAlignment="1">
      <alignment horizontal="center" wrapText="1"/>
    </xf>
    <xf numFmtId="0" fontId="14" fillId="0" borderId="26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0" fontId="16" fillId="0" borderId="28" xfId="0" applyFont="1" applyBorder="1" applyAlignment="1">
      <alignment horizontal="left" vertical="center" wrapText="1"/>
    </xf>
    <xf numFmtId="0" fontId="0" fillId="13" borderId="1" xfId="0" applyFill="1" applyBorder="1" applyAlignment="1">
      <alignment wrapText="1"/>
    </xf>
    <xf numFmtId="9" fontId="0" fillId="13" borderId="1" xfId="0" applyNumberFormat="1" applyFill="1" applyBorder="1" applyAlignment="1">
      <alignment wrapText="1"/>
    </xf>
    <xf numFmtId="8" fontId="0" fillId="13" borderId="1" xfId="0" applyNumberFormat="1" applyFill="1" applyBorder="1" applyAlignment="1">
      <alignment wrapText="1"/>
    </xf>
    <xf numFmtId="2" fontId="0" fillId="13" borderId="1" xfId="0" applyNumberFormat="1" applyFill="1" applyBorder="1" applyAlignment="1">
      <alignment wrapText="1"/>
    </xf>
    <xf numFmtId="0" fontId="16" fillId="0" borderId="30" xfId="0" applyFont="1" applyBorder="1" applyAlignment="1">
      <alignment horizontal="left" vertical="center" wrapText="1"/>
    </xf>
    <xf numFmtId="165" fontId="0" fillId="0" borderId="0" xfId="0" applyNumberForma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1" fontId="15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2" fontId="15" fillId="0" borderId="0" xfId="0" applyNumberFormat="1" applyFont="1" applyAlignment="1">
      <alignment wrapText="1"/>
    </xf>
    <xf numFmtId="2" fontId="15" fillId="7" borderId="1" xfId="0" applyNumberFormat="1" applyFont="1" applyFill="1" applyBorder="1" applyAlignment="1">
      <alignment wrapText="1"/>
    </xf>
    <xf numFmtId="1" fontId="15" fillId="7" borderId="1" xfId="0" applyNumberFormat="1" applyFont="1" applyFill="1" applyBorder="1" applyAlignment="1">
      <alignment horizontal="center" wrapText="1"/>
    </xf>
    <xf numFmtId="2" fontId="15" fillId="0" borderId="1" xfId="0" applyNumberFormat="1" applyFont="1" applyBorder="1" applyAlignment="1">
      <alignment wrapText="1"/>
    </xf>
    <xf numFmtId="2" fontId="14" fillId="0" borderId="26" xfId="0" applyNumberFormat="1" applyFont="1" applyFill="1" applyBorder="1" applyAlignment="1">
      <alignment vertical="center" wrapText="1"/>
    </xf>
    <xf numFmtId="0" fontId="18" fillId="0" borderId="26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5" fillId="7" borderId="18" xfId="0" applyFont="1" applyFill="1" applyBorder="1" applyAlignment="1">
      <alignment vertical="center"/>
    </xf>
    <xf numFmtId="0" fontId="18" fillId="0" borderId="35" xfId="0" applyNumberFormat="1" applyFont="1" applyFill="1" applyBorder="1" applyAlignment="1">
      <alignment horizontal="center" vertical="center" wrapText="1"/>
    </xf>
    <xf numFmtId="0" fontId="18" fillId="0" borderId="36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left" wrapText="1"/>
    </xf>
    <xf numFmtId="0" fontId="16" fillId="7" borderId="26" xfId="0" applyFont="1" applyFill="1" applyBorder="1" applyAlignment="1">
      <alignment horizontal="left" vertical="center" wrapText="1"/>
    </xf>
    <xf numFmtId="0" fontId="19" fillId="7" borderId="26" xfId="0" applyFont="1" applyFill="1" applyBorder="1" applyAlignment="1">
      <alignment horizontal="left" vertical="center" wrapText="1"/>
    </xf>
    <xf numFmtId="0" fontId="14" fillId="10" borderId="26" xfId="0" applyFont="1" applyFill="1" applyBorder="1" applyAlignment="1">
      <alignment horizontal="left" vertical="center" wrapText="1"/>
    </xf>
    <xf numFmtId="0" fontId="16" fillId="10" borderId="26" xfId="0" applyFont="1" applyFill="1" applyBorder="1" applyAlignment="1">
      <alignment horizontal="left" vertical="center" wrapText="1"/>
    </xf>
    <xf numFmtId="2" fontId="14" fillId="10" borderId="26" xfId="0" applyNumberFormat="1" applyFont="1" applyFill="1" applyBorder="1" applyAlignment="1">
      <alignment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18" fillId="14" borderId="35" xfId="0" applyNumberFormat="1" applyFont="1" applyFill="1" applyBorder="1" applyAlignment="1">
      <alignment horizontal="center" vertical="center" wrapText="1"/>
    </xf>
    <xf numFmtId="0" fontId="18" fillId="15" borderId="35" xfId="0" applyNumberFormat="1" applyFont="1" applyFill="1" applyBorder="1" applyAlignment="1">
      <alignment horizontal="center" vertical="center" wrapText="1"/>
    </xf>
    <xf numFmtId="0" fontId="22" fillId="16" borderId="35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0" xfId="0" applyFont="1"/>
    <xf numFmtId="2" fontId="0" fillId="0" borderId="0" xfId="0" applyNumberFormat="1"/>
    <xf numFmtId="164" fontId="0" fillId="0" borderId="5" xfId="0" applyNumberFormat="1" applyFont="1" applyBorder="1"/>
    <xf numFmtId="164" fontId="0" fillId="0" borderId="0" xfId="0" applyNumberFormat="1"/>
    <xf numFmtId="0" fontId="16" fillId="17" borderId="26" xfId="0" applyFont="1" applyFill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left" wrapText="1"/>
    </xf>
    <xf numFmtId="1" fontId="0" fillId="0" borderId="1" xfId="0" applyNumberFormat="1" applyBorder="1" applyAlignment="1">
      <alignment wrapText="1"/>
    </xf>
    <xf numFmtId="0" fontId="15" fillId="0" borderId="1" xfId="0" applyFont="1" applyBorder="1" applyAlignment="1">
      <alignment horizontal="left" wrapText="1"/>
    </xf>
    <xf numFmtId="1" fontId="0" fillId="14" borderId="1" xfId="0" applyNumberFormat="1" applyFill="1" applyBorder="1" applyAlignment="1">
      <alignment wrapText="1"/>
    </xf>
    <xf numFmtId="1" fontId="0" fillId="15" borderId="1" xfId="0" applyNumberFormat="1" applyFill="1" applyBorder="1" applyAlignment="1">
      <alignment wrapText="1"/>
    </xf>
    <xf numFmtId="1" fontId="0" fillId="16" borderId="1" xfId="0" applyNumberFormat="1" applyFill="1" applyBorder="1" applyAlignment="1">
      <alignment wrapText="1"/>
    </xf>
    <xf numFmtId="2" fontId="15" fillId="0" borderId="1" xfId="0" applyNumberFormat="1" applyFont="1" applyFill="1" applyBorder="1" applyAlignment="1">
      <alignment wrapText="1"/>
    </xf>
    <xf numFmtId="2" fontId="27" fillId="0" borderId="1" xfId="0" applyNumberFormat="1" applyFont="1" applyFill="1" applyBorder="1" applyAlignment="1">
      <alignment wrapText="1"/>
    </xf>
    <xf numFmtId="2" fontId="15" fillId="14" borderId="1" xfId="0" applyNumberFormat="1" applyFont="1" applyFill="1" applyBorder="1" applyAlignment="1">
      <alignment wrapText="1"/>
    </xf>
    <xf numFmtId="2" fontId="15" fillId="15" borderId="1" xfId="0" applyNumberFormat="1" applyFont="1" applyFill="1" applyBorder="1" applyAlignment="1">
      <alignment wrapText="1"/>
    </xf>
    <xf numFmtId="2" fontId="15" fillId="16" borderId="1" xfId="0" applyNumberFormat="1" applyFont="1" applyFill="1" applyBorder="1" applyAlignment="1">
      <alignment wrapText="1"/>
    </xf>
    <xf numFmtId="0" fontId="16" fillId="18" borderId="28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0" fillId="19" borderId="0" xfId="0" applyFill="1"/>
    <xf numFmtId="0" fontId="0" fillId="10" borderId="0" xfId="0" applyFill="1"/>
    <xf numFmtId="0" fontId="0" fillId="0" borderId="0" xfId="0" applyFill="1"/>
    <xf numFmtId="0" fontId="0" fillId="0" borderId="0" xfId="0" applyBorder="1"/>
    <xf numFmtId="0" fontId="0" fillId="0" borderId="38" xfId="0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38" xfId="0" applyFill="1" applyBorder="1"/>
    <xf numFmtId="0" fontId="0" fillId="10" borderId="0" xfId="0" applyFill="1" applyBorder="1"/>
    <xf numFmtId="0" fontId="0" fillId="10" borderId="38" xfId="0" applyFill="1" applyBorder="1"/>
    <xf numFmtId="0" fontId="0" fillId="0" borderId="0" xfId="0" applyFill="1" applyBorder="1"/>
    <xf numFmtId="0" fontId="0" fillId="0" borderId="38" xfId="0" applyFill="1" applyBorder="1"/>
    <xf numFmtId="0" fontId="0" fillId="0" borderId="0" xfId="0" applyBorder="1" applyAlignment="1">
      <alignment horizontal="left" indent="3"/>
    </xf>
    <xf numFmtId="0" fontId="0" fillId="3" borderId="38" xfId="0" applyFill="1" applyBorder="1" applyAlignment="1">
      <alignment horizontal="center"/>
    </xf>
    <xf numFmtId="0" fontId="0" fillId="20" borderId="0" xfId="0" applyFill="1" applyBorder="1"/>
    <xf numFmtId="0" fontId="0" fillId="20" borderId="38" xfId="0" applyFill="1" applyBorder="1"/>
    <xf numFmtId="0" fontId="0" fillId="0" borderId="5" xfId="0" applyBorder="1"/>
    <xf numFmtId="0" fontId="0" fillId="7" borderId="0" xfId="0" applyFill="1" applyBorder="1" applyAlignment="1">
      <alignment horizontal="left" indent="1"/>
    </xf>
    <xf numFmtId="0" fontId="0" fillId="7" borderId="0" xfId="0" applyFill="1" applyBorder="1"/>
    <xf numFmtId="0" fontId="0" fillId="7" borderId="38" xfId="0" applyFill="1" applyBorder="1"/>
    <xf numFmtId="0" fontId="0" fillId="0" borderId="0" xfId="0" applyBorder="1" applyAlignment="1">
      <alignment horizontal="left" indent="1"/>
    </xf>
    <xf numFmtId="0" fontId="24" fillId="12" borderId="0" xfId="0" applyFont="1" applyFill="1" applyBorder="1"/>
    <xf numFmtId="0" fontId="0" fillId="12" borderId="0" xfId="0" applyFont="1" applyFill="1" applyBorder="1"/>
    <xf numFmtId="0" fontId="0" fillId="12" borderId="38" xfId="0" applyFont="1" applyFill="1" applyBorder="1"/>
    <xf numFmtId="0" fontId="0" fillId="7" borderId="0" xfId="0" applyFill="1" applyBorder="1" applyAlignment="1">
      <alignment horizontal="left" indent="2"/>
    </xf>
    <xf numFmtId="0" fontId="0" fillId="12" borderId="0" xfId="0" applyFill="1" applyBorder="1"/>
    <xf numFmtId="0" fontId="0" fillId="12" borderId="38" xfId="0" applyFill="1" applyBorder="1"/>
    <xf numFmtId="0" fontId="0" fillId="0" borderId="39" xfId="0" applyBorder="1"/>
    <xf numFmtId="0" fontId="0" fillId="0" borderId="34" xfId="0" applyBorder="1"/>
    <xf numFmtId="0" fontId="0" fillId="21" borderId="5" xfId="0" applyFill="1" applyBorder="1"/>
    <xf numFmtId="0" fontId="0" fillId="21" borderId="7" xfId="0" applyFill="1" applyBorder="1"/>
    <xf numFmtId="0" fontId="28" fillId="0" borderId="0" xfId="0" applyFont="1"/>
    <xf numFmtId="0" fontId="0" fillId="3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20" borderId="19" xfId="0" applyFill="1" applyBorder="1" applyAlignment="1">
      <alignment horizontal="center"/>
    </xf>
    <xf numFmtId="0" fontId="18" fillId="14" borderId="41" xfId="0" applyNumberFormat="1" applyFont="1" applyFill="1" applyBorder="1" applyAlignment="1">
      <alignment horizontal="center" vertical="center" wrapText="1"/>
    </xf>
    <xf numFmtId="0" fontId="18" fillId="15" borderId="41" xfId="0" applyNumberFormat="1" applyFont="1" applyFill="1" applyBorder="1" applyAlignment="1">
      <alignment horizontal="center" vertical="center" wrapText="1"/>
    </xf>
    <xf numFmtId="0" fontId="22" fillId="16" borderId="41" xfId="0" applyNumberFormat="1" applyFont="1" applyFill="1" applyBorder="1" applyAlignment="1">
      <alignment horizontal="center" vertical="center" wrapText="1"/>
    </xf>
    <xf numFmtId="0" fontId="22" fillId="16" borderId="42" xfId="0" applyNumberFormat="1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43" xfId="0" applyBorder="1" applyAlignment="1">
      <alignment horizontal="center"/>
    </xf>
    <xf numFmtId="0" fontId="0" fillId="0" borderId="37" xfId="0" applyBorder="1"/>
    <xf numFmtId="0" fontId="0" fillId="0" borderId="40" xfId="0" applyBorder="1"/>
    <xf numFmtId="0" fontId="24" fillId="3" borderId="39" xfId="0" applyFont="1" applyFill="1" applyBorder="1"/>
    <xf numFmtId="0" fontId="0" fillId="10" borderId="39" xfId="0" applyFill="1" applyBorder="1" applyAlignment="1">
      <alignment horizontal="left" indent="1"/>
    </xf>
    <xf numFmtId="0" fontId="24" fillId="0" borderId="39" xfId="0" applyFont="1" applyFill="1" applyBorder="1"/>
    <xf numFmtId="0" fontId="0" fillId="0" borderId="39" xfId="0" applyBorder="1" applyAlignment="1">
      <alignment horizontal="left" indent="3"/>
    </xf>
    <xf numFmtId="0" fontId="0" fillId="0" borderId="39" xfId="0" applyBorder="1" applyAlignment="1">
      <alignment horizontal="left" indent="2"/>
    </xf>
    <xf numFmtId="0" fontId="0" fillId="10" borderId="39" xfId="0" applyFill="1" applyBorder="1" applyAlignment="1">
      <alignment horizontal="left" indent="2"/>
    </xf>
    <xf numFmtId="0" fontId="0" fillId="0" borderId="39" xfId="0" applyFill="1" applyBorder="1" applyAlignment="1">
      <alignment horizontal="left" indent="1"/>
    </xf>
    <xf numFmtId="0" fontId="0" fillId="20" borderId="39" xfId="0" applyFill="1" applyBorder="1" applyAlignment="1">
      <alignment horizontal="left" indent="1"/>
    </xf>
    <xf numFmtId="0" fontId="0" fillId="0" borderId="44" xfId="0" applyBorder="1" applyAlignment="1">
      <alignment horizontal="center"/>
    </xf>
    <xf numFmtId="0" fontId="24" fillId="12" borderId="43" xfId="0" applyFon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24" fillId="12" borderId="19" xfId="0" applyFont="1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0" fillId="21" borderId="44" xfId="0" applyFill="1" applyBorder="1" applyAlignment="1">
      <alignment horizontal="center"/>
    </xf>
    <xf numFmtId="0" fontId="19" fillId="0" borderId="26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0" fillId="26" borderId="0" xfId="0" applyFont="1" applyFill="1"/>
    <xf numFmtId="3" fontId="12" fillId="1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0" xfId="0" applyNumberFormat="1" applyFont="1" applyAlignment="1">
      <alignment wrapText="1"/>
    </xf>
    <xf numFmtId="3" fontId="31" fillId="0" borderId="26" xfId="0" applyNumberFormat="1" applyFont="1" applyFill="1" applyBorder="1" applyAlignment="1">
      <alignment vertical="center" wrapText="1"/>
    </xf>
    <xf numFmtId="3" fontId="31" fillId="10" borderId="26" xfId="0" applyNumberFormat="1" applyFont="1" applyFill="1" applyBorder="1" applyAlignment="1">
      <alignment vertical="center" wrapText="1"/>
    </xf>
    <xf numFmtId="3" fontId="31" fillId="7" borderId="26" xfId="0" applyNumberFormat="1" applyFont="1" applyFill="1" applyBorder="1" applyAlignment="1">
      <alignment vertical="center" wrapText="1"/>
    </xf>
    <xf numFmtId="3" fontId="12" fillId="7" borderId="26" xfId="0" applyNumberFormat="1" applyFont="1" applyFill="1" applyBorder="1" applyAlignment="1">
      <alignment vertical="center" wrapText="1"/>
    </xf>
    <xf numFmtId="3" fontId="12" fillId="17" borderId="26" xfId="0" applyNumberFormat="1" applyFont="1" applyFill="1" applyBorder="1" applyAlignment="1">
      <alignment vertical="center" wrapText="1"/>
    </xf>
    <xf numFmtId="3" fontId="12" fillId="18" borderId="28" xfId="0" applyNumberFormat="1" applyFont="1" applyFill="1" applyBorder="1" applyAlignment="1">
      <alignment vertical="center" wrapText="1"/>
    </xf>
    <xf numFmtId="3" fontId="31" fillId="0" borderId="28" xfId="0" applyNumberFormat="1" applyFont="1" applyFill="1" applyBorder="1" applyAlignment="1">
      <alignment vertical="center" wrapText="1"/>
    </xf>
    <xf numFmtId="3" fontId="12" fillId="0" borderId="25" xfId="0" applyNumberFormat="1" applyFont="1" applyFill="1" applyBorder="1" applyAlignment="1">
      <alignment vertical="center" wrapText="1"/>
    </xf>
    <xf numFmtId="3" fontId="31" fillId="0" borderId="25" xfId="0" applyNumberFormat="1" applyFont="1" applyFill="1" applyBorder="1" applyAlignment="1">
      <alignment vertical="center" wrapText="1"/>
    </xf>
    <xf numFmtId="3" fontId="32" fillId="10" borderId="26" xfId="0" applyNumberFormat="1" applyFont="1" applyFill="1" applyBorder="1" applyAlignment="1">
      <alignment vertical="center" wrapText="1"/>
    </xf>
    <xf numFmtId="3" fontId="32" fillId="0" borderId="26" xfId="0" applyNumberFormat="1" applyFont="1" applyFill="1" applyBorder="1" applyAlignment="1">
      <alignment vertical="center" wrapText="1"/>
    </xf>
    <xf numFmtId="3" fontId="32" fillId="7" borderId="26" xfId="0" applyNumberFormat="1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31" fillId="0" borderId="30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horizontal="justify" vertical="center" wrapText="1"/>
    </xf>
    <xf numFmtId="3" fontId="31" fillId="0" borderId="7" xfId="0" applyNumberFormat="1" applyFont="1" applyFill="1" applyBorder="1" applyAlignment="1">
      <alignment horizontal="justify" vertical="center" wrapText="1"/>
    </xf>
    <xf numFmtId="0" fontId="15" fillId="13" borderId="27" xfId="0" applyFont="1" applyFill="1" applyBorder="1" applyAlignment="1">
      <alignment horizontal="center" wrapText="1"/>
    </xf>
    <xf numFmtId="3" fontId="12" fillId="13" borderId="27" xfId="0" applyNumberFormat="1" applyFont="1" applyFill="1" applyBorder="1" applyAlignment="1">
      <alignment horizontal="center" wrapText="1"/>
    </xf>
    <xf numFmtId="3" fontId="12" fillId="13" borderId="29" xfId="0" applyNumberFormat="1" applyFont="1" applyFill="1" applyBorder="1" applyAlignment="1">
      <alignment horizontal="center" wrapText="1"/>
    </xf>
    <xf numFmtId="3" fontId="12" fillId="13" borderId="24" xfId="0" applyNumberFormat="1" applyFont="1" applyFill="1" applyBorder="1" applyAlignment="1">
      <alignment horizontal="center" wrapText="1"/>
    </xf>
    <xf numFmtId="3" fontId="12" fillId="13" borderId="20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10" fillId="10" borderId="23" xfId="0" applyNumberFormat="1" applyFont="1" applyFill="1" applyBorder="1" applyAlignment="1">
      <alignment horizontal="center" vertical="center" wrapText="1"/>
    </xf>
    <xf numFmtId="0" fontId="10" fillId="10" borderId="23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wrapText="1"/>
    </xf>
    <xf numFmtId="3" fontId="15" fillId="0" borderId="1" xfId="0" applyNumberFormat="1" applyFont="1" applyFill="1" applyBorder="1" applyAlignment="1">
      <alignment wrapText="1"/>
    </xf>
    <xf numFmtId="3" fontId="15" fillId="14" borderId="1" xfId="0" applyNumberFormat="1" applyFont="1" applyFill="1" applyBorder="1" applyAlignment="1">
      <alignment wrapText="1"/>
    </xf>
    <xf numFmtId="3" fontId="15" fillId="15" borderId="1" xfId="0" applyNumberFormat="1" applyFont="1" applyFill="1" applyBorder="1" applyAlignment="1">
      <alignment wrapText="1"/>
    </xf>
    <xf numFmtId="3" fontId="15" fillId="16" borderId="1" xfId="0" applyNumberFormat="1" applyFont="1" applyFill="1" applyBorder="1" applyAlignment="1">
      <alignment wrapText="1"/>
    </xf>
    <xf numFmtId="3" fontId="27" fillId="0" borderId="1" xfId="0" applyNumberFormat="1" applyFont="1" applyFill="1" applyBorder="1" applyAlignment="1">
      <alignment wrapText="1"/>
    </xf>
    <xf numFmtId="164" fontId="0" fillId="0" borderId="1" xfId="0" applyNumberFormat="1" applyFill="1" applyBorder="1"/>
    <xf numFmtId="164" fontId="0" fillId="0" borderId="2" xfId="0" applyNumberFormat="1" applyFill="1" applyBorder="1"/>
    <xf numFmtId="3" fontId="6" fillId="0" borderId="1" xfId="0" applyNumberFormat="1" applyFont="1" applyFill="1" applyBorder="1"/>
    <xf numFmtId="164" fontId="6" fillId="0" borderId="1" xfId="0" applyNumberFormat="1" applyFont="1" applyFill="1" applyBorder="1"/>
    <xf numFmtId="4" fontId="6" fillId="0" borderId="1" xfId="0" applyNumberFormat="1" applyFont="1" applyFill="1" applyBorder="1"/>
    <xf numFmtId="164" fontId="6" fillId="3" borderId="1" xfId="0" applyNumberFormat="1" applyFont="1" applyFill="1" applyBorder="1"/>
    <xf numFmtId="0" fontId="0" fillId="0" borderId="19" xfId="0" applyFont="1" applyFill="1" applyBorder="1"/>
    <xf numFmtId="0" fontId="33" fillId="27" borderId="1" xfId="0" applyFont="1" applyFill="1" applyBorder="1"/>
    <xf numFmtId="0" fontId="5" fillId="0" borderId="1" xfId="0" applyFont="1" applyBorder="1"/>
    <xf numFmtId="0" fontId="5" fillId="21" borderId="1" xfId="0" applyFont="1" applyFill="1" applyBorder="1"/>
    <xf numFmtId="0" fontId="33" fillId="28" borderId="1" xfId="0" applyFont="1" applyFill="1" applyBorder="1"/>
    <xf numFmtId="0" fontId="33" fillId="29" borderId="1" xfId="0" applyFont="1" applyFill="1" applyBorder="1"/>
    <xf numFmtId="0" fontId="21" fillId="0" borderId="0" xfId="0" applyFont="1"/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right" wrapText="1"/>
    </xf>
    <xf numFmtId="0" fontId="35" fillId="25" borderId="1" xfId="0" applyFont="1" applyFill="1" applyBorder="1" applyAlignment="1">
      <alignment wrapText="1"/>
    </xf>
    <xf numFmtId="0" fontId="35" fillId="25" borderId="1" xfId="0" applyFont="1" applyFill="1" applyBorder="1" applyAlignment="1">
      <alignment horizontal="center" wrapText="1"/>
    </xf>
    <xf numFmtId="0" fontId="35" fillId="22" borderId="1" xfId="0" applyFont="1" applyFill="1" applyBorder="1" applyAlignment="1">
      <alignment wrapText="1"/>
    </xf>
    <xf numFmtId="0" fontId="35" fillId="23" borderId="1" xfId="0" applyFont="1" applyFill="1" applyBorder="1" applyAlignment="1">
      <alignment horizontal="center" wrapText="1"/>
    </xf>
    <xf numFmtId="167" fontId="35" fillId="24" borderId="1" xfId="0" applyNumberFormat="1" applyFont="1" applyFill="1" applyBorder="1" applyAlignment="1">
      <alignment horizontal="right" wrapText="1"/>
    </xf>
    <xf numFmtId="2" fontId="35" fillId="24" borderId="1" xfId="0" applyNumberFormat="1" applyFont="1" applyFill="1" applyBorder="1" applyAlignment="1">
      <alignment horizontal="right" wrapText="1"/>
    </xf>
    <xf numFmtId="0" fontId="35" fillId="0" borderId="0" xfId="0" applyFont="1" applyFill="1" applyAlignment="1">
      <alignment horizontal="center" wrapText="1"/>
    </xf>
    <xf numFmtId="2" fontId="35" fillId="0" borderId="0" xfId="0" applyNumberFormat="1" applyFont="1" applyFill="1" applyAlignment="1">
      <alignment horizontal="right" wrapText="1"/>
    </xf>
    <xf numFmtId="9" fontId="35" fillId="24" borderId="1" xfId="0" applyNumberFormat="1" applyFont="1" applyFill="1" applyBorder="1" applyAlignment="1">
      <alignment horizontal="right" wrapText="1"/>
    </xf>
    <xf numFmtId="0" fontId="35" fillId="22" borderId="1" xfId="0" applyFont="1" applyFill="1" applyBorder="1" applyAlignment="1">
      <alignment horizontal="left" wrapText="1" indent="1"/>
    </xf>
    <xf numFmtId="6" fontId="35" fillId="24" borderId="1" xfId="0" applyNumberFormat="1" applyFont="1" applyFill="1" applyBorder="1" applyAlignment="1">
      <alignment horizontal="right" wrapText="1"/>
    </xf>
    <xf numFmtId="0" fontId="36" fillId="22" borderId="1" xfId="0" applyFont="1" applyFill="1" applyBorder="1" applyAlignment="1">
      <alignment wrapText="1"/>
    </xf>
    <xf numFmtId="0" fontId="35" fillId="24" borderId="1" xfId="0" applyFont="1" applyFill="1" applyBorder="1" applyAlignment="1">
      <alignment horizontal="right" wrapText="1"/>
    </xf>
    <xf numFmtId="10" fontId="35" fillId="24" borderId="1" xfId="0" applyNumberFormat="1" applyFont="1" applyFill="1" applyBorder="1" applyAlignment="1">
      <alignment horizontal="right" wrapText="1"/>
    </xf>
    <xf numFmtId="3" fontId="0" fillId="3" borderId="1" xfId="0" applyNumberFormat="1" applyFont="1" applyFill="1" applyBorder="1"/>
    <xf numFmtId="3" fontId="0" fillId="0" borderId="1" xfId="0" applyNumberFormat="1" applyFont="1" applyBorder="1"/>
    <xf numFmtId="3" fontId="0" fillId="0" borderId="1" xfId="0" applyNumberFormat="1" applyFont="1" applyFill="1" applyBorder="1"/>
    <xf numFmtId="3" fontId="0" fillId="3" borderId="1" xfId="0" applyNumberFormat="1" applyFill="1" applyBorder="1"/>
    <xf numFmtId="3" fontId="0" fillId="3" borderId="1" xfId="0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right"/>
    </xf>
    <xf numFmtId="0" fontId="12" fillId="0" borderId="24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7" borderId="18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justify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12" borderId="1" xfId="0" applyFont="1" applyFill="1" applyBorder="1" applyAlignment="1">
      <alignment horizontal="justify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0" fillId="12" borderId="21" xfId="0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11" borderId="16" xfId="0" applyFont="1" applyFill="1" applyBorder="1" applyAlignment="1">
      <alignment horizontal="center"/>
    </xf>
    <xf numFmtId="0" fontId="0" fillId="11" borderId="17" xfId="0" applyFont="1" applyFill="1" applyBorder="1" applyAlignment="1">
      <alignment horizontal="center"/>
    </xf>
    <xf numFmtId="0" fontId="9" fillId="12" borderId="16" xfId="0" applyFont="1" applyFill="1" applyBorder="1" applyAlignment="1">
      <alignment horizontal="justify" vertical="center" wrapText="1"/>
    </xf>
    <xf numFmtId="0" fontId="9" fillId="12" borderId="19" xfId="0" applyFont="1" applyFill="1" applyBorder="1" applyAlignment="1">
      <alignment horizontal="justify" vertical="center" wrapText="1"/>
    </xf>
    <xf numFmtId="0" fontId="9" fillId="12" borderId="17" xfId="0" applyFont="1" applyFill="1" applyBorder="1" applyAlignment="1">
      <alignment horizontal="justify" vertical="center" wrapText="1"/>
    </xf>
    <xf numFmtId="0" fontId="9" fillId="12" borderId="21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 wrapText="1"/>
    </xf>
    <xf numFmtId="0" fontId="9" fillId="12" borderId="17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 textRotation="90"/>
    </xf>
    <xf numFmtId="0" fontId="0" fillId="0" borderId="27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2" fontId="12" fillId="0" borderId="21" xfId="0" applyNumberFormat="1" applyFont="1" applyBorder="1" applyAlignment="1">
      <alignment horizontal="left" vertical="center" wrapText="1"/>
    </xf>
    <xf numFmtId="2" fontId="12" fillId="0" borderId="9" xfId="0" applyNumberFormat="1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2" fontId="0" fillId="0" borderId="32" xfId="0" applyNumberFormat="1" applyBorder="1" applyAlignment="1">
      <alignment horizontal="center" wrapText="1"/>
    </xf>
    <xf numFmtId="2" fontId="0" fillId="0" borderId="33" xfId="0" applyNumberFormat="1" applyBorder="1" applyAlignment="1">
      <alignment horizontal="center" wrapText="1"/>
    </xf>
    <xf numFmtId="0" fontId="29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center" vertical="center" textRotation="90" wrapText="1"/>
    </xf>
    <xf numFmtId="0" fontId="16" fillId="0" borderId="26" xfId="0" applyFont="1" applyBorder="1" applyAlignment="1">
      <alignment horizontal="center" vertical="center" textRotation="90" wrapText="1"/>
    </xf>
    <xf numFmtId="0" fontId="16" fillId="0" borderId="30" xfId="0" applyFont="1" applyBorder="1" applyAlignment="1">
      <alignment horizontal="center" vertical="center" textRotation="90" wrapText="1"/>
    </xf>
    <xf numFmtId="0" fontId="16" fillId="0" borderId="13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8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textRotation="90" wrapText="1"/>
    </xf>
    <xf numFmtId="0" fontId="34" fillId="0" borderId="0" xfId="0" applyFont="1" applyAlignment="1">
      <alignment horizontal="left" vertical="center" wrapText="1"/>
    </xf>
    <xf numFmtId="0" fontId="0" fillId="0" borderId="19" xfId="0" applyBorder="1"/>
    <xf numFmtId="0" fontId="0" fillId="0" borderId="20" xfId="0" applyBorder="1" applyAlignment="1">
      <alignment horizontal="center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/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8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8" fillId="0" borderId="1" xfId="0" applyFont="1" applyBorder="1"/>
    <xf numFmtId="0" fontId="3" fillId="30" borderId="1" xfId="0" applyFont="1" applyFill="1" applyBorder="1"/>
    <xf numFmtId="0" fontId="38" fillId="30" borderId="1" xfId="0" applyFont="1" applyFill="1" applyBorder="1"/>
    <xf numFmtId="0" fontId="38" fillId="30" borderId="1" xfId="0" applyFont="1" applyFill="1" applyBorder="1" applyAlignment="1">
      <alignment horizontal="center"/>
    </xf>
    <xf numFmtId="0" fontId="0" fillId="30" borderId="1" xfId="0" applyFill="1" applyBorder="1"/>
    <xf numFmtId="0" fontId="38" fillId="31" borderId="1" xfId="0" applyFont="1" applyFill="1" applyBorder="1"/>
    <xf numFmtId="0" fontId="38" fillId="31" borderId="1" xfId="0" applyFont="1" applyFill="1" applyBorder="1" applyAlignment="1">
      <alignment horizontal="center"/>
    </xf>
    <xf numFmtId="0" fontId="3" fillId="31" borderId="1" xfId="0" applyFont="1" applyFill="1" applyBorder="1"/>
    <xf numFmtId="0" fontId="0" fillId="31" borderId="1" xfId="0" applyFill="1" applyBorder="1"/>
    <xf numFmtId="0" fontId="2" fillId="26" borderId="1" xfId="0" applyFont="1" applyFill="1" applyBorder="1"/>
    <xf numFmtId="0" fontId="2" fillId="0" borderId="1" xfId="0" applyFont="1" applyBorder="1"/>
    <xf numFmtId="0" fontId="7" fillId="0" borderId="0" xfId="8" applyAlignment="1" applyProtection="1"/>
    <xf numFmtId="0" fontId="7" fillId="0" borderId="1" xfId="8" applyBorder="1" applyAlignment="1" applyProtection="1"/>
    <xf numFmtId="0" fontId="39" fillId="0" borderId="1" xfId="0" applyFont="1" applyBorder="1"/>
    <xf numFmtId="0" fontId="2" fillId="31" borderId="1" xfId="0" applyFont="1" applyFill="1" applyBorder="1"/>
    <xf numFmtId="0" fontId="0" fillId="26" borderId="1" xfId="0" applyFill="1" applyBorder="1"/>
    <xf numFmtId="0" fontId="7" fillId="26" borderId="1" xfId="8" applyFill="1" applyBorder="1" applyAlignment="1" applyProtection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0" fillId="32" borderId="1" xfId="0" applyFill="1" applyBorder="1"/>
    <xf numFmtId="0" fontId="0" fillId="32" borderId="0" xfId="0" applyFill="1"/>
    <xf numFmtId="0" fontId="38" fillId="33" borderId="1" xfId="0" applyFont="1" applyFill="1" applyBorder="1"/>
    <xf numFmtId="0" fontId="3" fillId="26" borderId="1" xfId="0" applyFont="1" applyFill="1" applyBorder="1"/>
    <xf numFmtId="0" fontId="0" fillId="33" borderId="1" xfId="0" applyFill="1" applyBorder="1"/>
    <xf numFmtId="3" fontId="3" fillId="26" borderId="1" xfId="0" applyNumberFormat="1" applyFont="1" applyFill="1" applyBorder="1"/>
    <xf numFmtId="0" fontId="38" fillId="26" borderId="1" xfId="0" applyFont="1" applyFill="1" applyBorder="1"/>
    <xf numFmtId="0" fontId="3" fillId="33" borderId="1" xfId="0" applyFont="1" applyFill="1" applyBorder="1" applyAlignment="1">
      <alignment wrapText="1"/>
    </xf>
    <xf numFmtId="0" fontId="3" fillId="34" borderId="1" xfId="0" applyFont="1" applyFill="1" applyBorder="1"/>
    <xf numFmtId="0" fontId="3" fillId="0" borderId="1" xfId="0" applyFont="1" applyBorder="1"/>
    <xf numFmtId="0" fontId="37" fillId="0" borderId="0" xfId="0" applyFont="1"/>
    <xf numFmtId="0" fontId="0" fillId="26" borderId="0" xfId="0" applyFill="1"/>
    <xf numFmtId="0" fontId="3" fillId="26" borderId="0" xfId="0" applyFont="1" applyFill="1"/>
    <xf numFmtId="0" fontId="37" fillId="25" borderId="1" xfId="0" applyFont="1" applyFill="1" applyBorder="1"/>
    <xf numFmtId="0" fontId="0" fillId="25" borderId="1" xfId="0" applyFill="1" applyBorder="1"/>
    <xf numFmtId="0" fontId="2" fillId="7" borderId="1" xfId="0" applyFont="1" applyFill="1" applyBorder="1"/>
    <xf numFmtId="0" fontId="0" fillId="7" borderId="1" xfId="0" applyFill="1" applyBorder="1"/>
    <xf numFmtId="0" fontId="7" fillId="7" borderId="1" xfId="8" applyFill="1" applyBorder="1" applyAlignment="1" applyProtection="1"/>
    <xf numFmtId="0" fontId="0" fillId="7" borderId="0" xfId="0" applyFill="1"/>
    <xf numFmtId="0" fontId="3" fillId="25" borderId="1" xfId="0" applyFont="1" applyFill="1" applyBorder="1"/>
    <xf numFmtId="3" fontId="0" fillId="25" borderId="1" xfId="0" applyNumberFormat="1" applyFill="1" applyBorder="1"/>
    <xf numFmtId="0" fontId="7" fillId="7" borderId="0" xfId="8" applyFill="1" applyAlignment="1" applyProtection="1"/>
    <xf numFmtId="0" fontId="3" fillId="25" borderId="1" xfId="0" applyFont="1" applyFill="1" applyBorder="1" applyAlignment="1">
      <alignment wrapText="1"/>
    </xf>
    <xf numFmtId="0" fontId="38" fillId="7" borderId="1" xfId="0" applyFont="1" applyFill="1" applyBorder="1"/>
    <xf numFmtId="0" fontId="37" fillId="26" borderId="0" xfId="0" applyFont="1" applyFill="1"/>
    <xf numFmtId="0" fontId="2" fillId="35" borderId="16" xfId="0" applyFont="1" applyFill="1" applyBorder="1"/>
    <xf numFmtId="0" fontId="0" fillId="35" borderId="16" xfId="0" applyFill="1" applyBorder="1"/>
    <xf numFmtId="0" fontId="0" fillId="35" borderId="46" xfId="0" applyFill="1" applyBorder="1"/>
    <xf numFmtId="0" fontId="2" fillId="35" borderId="21" xfId="0" applyFont="1" applyFill="1" applyBorder="1"/>
    <xf numFmtId="0" fontId="0" fillId="35" borderId="22" xfId="0" applyFill="1" applyBorder="1"/>
    <xf numFmtId="0" fontId="2" fillId="26" borderId="0" xfId="0" applyFont="1" applyFill="1"/>
    <xf numFmtId="0" fontId="40" fillId="36" borderId="0" xfId="0" applyFont="1" applyFill="1"/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48" xfId="0" applyFont="1" applyBorder="1" applyAlignment="1">
      <alignment vertical="center"/>
    </xf>
    <xf numFmtId="0" fontId="42" fillId="0" borderId="49" xfId="0" applyFont="1" applyBorder="1" applyAlignment="1">
      <alignment vertical="center"/>
    </xf>
    <xf numFmtId="0" fontId="42" fillId="0" borderId="6" xfId="0" applyFont="1" applyBorder="1" applyAlignment="1">
      <alignment vertical="center" wrapText="1"/>
    </xf>
    <xf numFmtId="0" fontId="41" fillId="0" borderId="51" xfId="0" applyFont="1" applyBorder="1" applyAlignment="1">
      <alignment vertical="center"/>
    </xf>
    <xf numFmtId="0" fontId="41" fillId="0" borderId="17" xfId="0" applyFont="1" applyBorder="1" applyAlignment="1">
      <alignment vertical="center" wrapText="1"/>
    </xf>
    <xf numFmtId="3" fontId="42" fillId="0" borderId="1" xfId="0" applyNumberFormat="1" applyFont="1" applyBorder="1" applyAlignment="1">
      <alignment vertical="center" wrapText="1"/>
    </xf>
    <xf numFmtId="3" fontId="42" fillId="0" borderId="6" xfId="0" applyNumberFormat="1" applyFont="1" applyBorder="1" applyAlignment="1">
      <alignment vertical="center" wrapText="1"/>
    </xf>
    <xf numFmtId="3" fontId="42" fillId="0" borderId="4" xfId="0" applyNumberFormat="1" applyFont="1" applyBorder="1" applyAlignment="1">
      <alignment vertical="center" wrapText="1"/>
    </xf>
    <xf numFmtId="3" fontId="42" fillId="0" borderId="50" xfId="0" applyNumberFormat="1" applyFont="1" applyBorder="1" applyAlignment="1">
      <alignment vertical="center" wrapText="1"/>
    </xf>
    <xf numFmtId="3" fontId="41" fillId="0" borderId="17" xfId="0" applyNumberFormat="1" applyFont="1" applyBorder="1" applyAlignment="1">
      <alignment vertical="center" wrapText="1"/>
    </xf>
    <xf numFmtId="3" fontId="41" fillId="0" borderId="52" xfId="0" applyNumberFormat="1" applyFont="1" applyBorder="1" applyAlignment="1">
      <alignment vertical="center" wrapText="1"/>
    </xf>
    <xf numFmtId="0" fontId="41" fillId="23" borderId="47" xfId="0" applyFont="1" applyFill="1" applyBorder="1" applyAlignment="1">
      <alignment horizontal="center" vertical="center"/>
    </xf>
    <xf numFmtId="0" fontId="41" fillId="23" borderId="2" xfId="0" applyFont="1" applyFill="1" applyBorder="1" applyAlignment="1">
      <alignment horizontal="center" vertical="center" wrapText="1"/>
    </xf>
    <xf numFmtId="0" fontId="41" fillId="23" borderId="3" xfId="0" applyFont="1" applyFill="1" applyBorder="1" applyAlignment="1">
      <alignment horizontal="center" vertical="center" wrapText="1"/>
    </xf>
    <xf numFmtId="0" fontId="41" fillId="23" borderId="49" xfId="0" applyFont="1" applyFill="1" applyBorder="1" applyAlignment="1">
      <alignment horizontal="center" vertical="center"/>
    </xf>
    <xf numFmtId="0" fontId="41" fillId="23" borderId="6" xfId="0" applyFont="1" applyFill="1" applyBorder="1" applyAlignment="1">
      <alignment horizontal="center" vertical="center" wrapText="1"/>
    </xf>
    <xf numFmtId="0" fontId="41" fillId="23" borderId="50" xfId="0" applyFont="1" applyFill="1" applyBorder="1" applyAlignment="1">
      <alignment horizontal="center" vertical="center" wrapText="1"/>
    </xf>
    <xf numFmtId="0" fontId="43" fillId="37" borderId="8" xfId="0" applyFont="1" applyFill="1" applyBorder="1" applyAlignment="1">
      <alignment horizontal="center" vertical="center" wrapText="1"/>
    </xf>
    <xf numFmtId="0" fontId="43" fillId="37" borderId="53" xfId="0" applyFont="1" applyFill="1" applyBorder="1" applyAlignment="1">
      <alignment horizontal="center" vertical="center"/>
    </xf>
    <xf numFmtId="0" fontId="43" fillId="37" borderId="54" xfId="0" applyFont="1" applyFill="1" applyBorder="1" applyAlignment="1">
      <alignment horizontal="center" vertical="center" wrapText="1"/>
    </xf>
    <xf numFmtId="0" fontId="43" fillId="37" borderId="55" xfId="0" applyFont="1" applyFill="1" applyBorder="1" applyAlignment="1">
      <alignment horizontal="center" vertical="center"/>
    </xf>
    <xf numFmtId="0" fontId="43" fillId="37" borderId="45" xfId="0" applyFont="1" applyFill="1" applyBorder="1" applyAlignment="1">
      <alignment horizontal="center" vertical="center" wrapText="1"/>
    </xf>
    <xf numFmtId="0" fontId="43" fillId="37" borderId="56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3" fontId="44" fillId="0" borderId="1" xfId="0" applyNumberFormat="1" applyFont="1" applyBorder="1" applyAlignment="1">
      <alignment vertical="center" wrapText="1"/>
    </xf>
    <xf numFmtId="0" fontId="43" fillId="0" borderId="47" xfId="0" applyFont="1" applyBorder="1" applyAlignment="1">
      <alignment vertical="center"/>
    </xf>
    <xf numFmtId="0" fontId="43" fillId="0" borderId="2" xfId="0" applyFont="1" applyBorder="1" applyAlignment="1">
      <alignment vertical="center" wrapText="1"/>
    </xf>
    <xf numFmtId="3" fontId="43" fillId="0" borderId="2" xfId="0" applyNumberFormat="1" applyFont="1" applyBorder="1" applyAlignment="1">
      <alignment vertical="center" wrapText="1"/>
    </xf>
    <xf numFmtId="3" fontId="43" fillId="0" borderId="3" xfId="0" applyNumberFormat="1" applyFont="1" applyBorder="1" applyAlignment="1">
      <alignment vertical="center" wrapText="1"/>
    </xf>
    <xf numFmtId="0" fontId="44" fillId="0" borderId="48" xfId="0" applyFont="1" applyBorder="1" applyAlignment="1">
      <alignment vertical="center"/>
    </xf>
    <xf numFmtId="3" fontId="44" fillId="0" borderId="4" xfId="0" applyNumberFormat="1" applyFont="1" applyBorder="1" applyAlignment="1">
      <alignment vertical="center" wrapText="1"/>
    </xf>
    <xf numFmtId="0" fontId="44" fillId="0" borderId="49" xfId="0" applyFont="1" applyBorder="1" applyAlignment="1">
      <alignment vertical="center"/>
    </xf>
    <xf numFmtId="0" fontId="44" fillId="0" borderId="6" xfId="0" applyFont="1" applyBorder="1" applyAlignment="1">
      <alignment vertical="center" wrapText="1"/>
    </xf>
    <xf numFmtId="3" fontId="44" fillId="0" borderId="6" xfId="0" applyNumberFormat="1" applyFont="1" applyBorder="1" applyAlignment="1">
      <alignment vertical="center" wrapText="1"/>
    </xf>
    <xf numFmtId="3" fontId="44" fillId="0" borderId="50" xfId="0" applyNumberFormat="1" applyFont="1" applyBorder="1" applyAlignment="1">
      <alignment vertical="center" wrapText="1"/>
    </xf>
    <xf numFmtId="0" fontId="45" fillId="38" borderId="0" xfId="0" applyFont="1" applyFill="1" applyBorder="1" applyAlignment="1">
      <alignment horizontal="center" vertical="center" wrapText="1"/>
    </xf>
    <xf numFmtId="0" fontId="46" fillId="38" borderId="0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vertical="center" wrapText="1"/>
    </xf>
    <xf numFmtId="0" fontId="48" fillId="38" borderId="1" xfId="0" applyFont="1" applyFill="1" applyBorder="1" applyAlignment="1">
      <alignment horizontal="center" vertical="center" wrapText="1"/>
    </xf>
    <xf numFmtId="0" fontId="48" fillId="38" borderId="1" xfId="0" applyFont="1" applyFill="1" applyBorder="1" applyAlignment="1">
      <alignment horizontal="center" vertical="center" wrapText="1"/>
    </xf>
    <xf numFmtId="0" fontId="49" fillId="38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center" wrapText="1"/>
    </xf>
    <xf numFmtId="14" fontId="51" fillId="0" borderId="1" xfId="0" applyNumberFormat="1" applyFont="1" applyBorder="1" applyAlignment="1">
      <alignment horizontal="right" vertical="center" wrapText="1"/>
    </xf>
    <xf numFmtId="0" fontId="50" fillId="0" borderId="1" xfId="0" applyFont="1" applyBorder="1" applyAlignment="1">
      <alignment vertical="center" wrapText="1"/>
    </xf>
    <xf numFmtId="3" fontId="52" fillId="0" borderId="1" xfId="0" applyNumberFormat="1" applyFont="1" applyBorder="1" applyAlignment="1">
      <alignment vertical="center" wrapText="1"/>
    </xf>
    <xf numFmtId="0" fontId="52" fillId="0" borderId="1" xfId="0" applyFont="1" applyBorder="1" applyAlignment="1">
      <alignment vertical="center" wrapText="1"/>
    </xf>
    <xf numFmtId="16" fontId="51" fillId="0" borderId="1" xfId="0" applyNumberFormat="1" applyFont="1" applyBorder="1" applyAlignment="1">
      <alignment horizontal="center" vertical="center" wrapText="1"/>
    </xf>
    <xf numFmtId="0" fontId="53" fillId="0" borderId="0" xfId="0" applyFont="1"/>
  </cellXfs>
  <cellStyles count="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8" builtinId="8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TableStyleLight1" xfId="7" xr:uid="{CB525A1C-3927-EA43-98D5-CB9F6CD1D5C6}"/>
  </cellStyles>
  <dxfs count="0"/>
  <tableStyles count="0" defaultTableStyle="TableStyleMedium2" defaultPivotStyle="PivotStyleMedium9"/>
  <colors>
    <mruColors>
      <color rgb="FFEDE9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 b="1"/>
              <a:t>Cash Flow Profit</a:t>
            </a:r>
            <a:r>
              <a:rPr lang="ru-RU" sz="1200" b="1"/>
              <a:t> (услуги сервиса)</a:t>
            </a:r>
          </a:p>
        </c:rich>
      </c:tx>
      <c:layout>
        <c:manualLayout>
          <c:xMode val="edge"/>
          <c:yMode val="edge"/>
          <c:x val="1.2031384930414505E-2"/>
          <c:y val="2.8679824112894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услуга'!$B$27</c:f>
              <c:strCache>
                <c:ptCount val="1"/>
                <c:pt idx="0">
                  <c:v>Profit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'Total услуга'!$D$3:$H$3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'Total услуга'!$D$27:$H$27</c:f>
              <c:numCache>
                <c:formatCode>#,##0</c:formatCode>
                <c:ptCount val="5"/>
                <c:pt idx="0">
                  <c:v>-10297959.262960002</c:v>
                </c:pt>
                <c:pt idx="1">
                  <c:v>17663568.675840005</c:v>
                </c:pt>
                <c:pt idx="2">
                  <c:v>82026433.378559992</c:v>
                </c:pt>
                <c:pt idx="3">
                  <c:v>185070602.8096</c:v>
                </c:pt>
                <c:pt idx="4">
                  <c:v>197607751.60959998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E-0747-96F8-303B640A5DF8}"/>
            </c:ext>
          </c:extLst>
        </c:ser>
        <c:ser>
          <c:idx val="1"/>
          <c:order val="1"/>
          <c:tx>
            <c:strRef>
              <c:f>'Total услуга'!$B$7</c:f>
              <c:strCache>
                <c:ptCount val="1"/>
                <c:pt idx="0">
                  <c:v>Gross profit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'Total услуга'!$D$3:$H$3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'Total услуга'!$D$7:$H$7</c:f>
              <c:numCache>
                <c:formatCode>#,##0</c:formatCode>
                <c:ptCount val="5"/>
                <c:pt idx="0">
                  <c:v>962738.20399999898</c:v>
                </c:pt>
                <c:pt idx="1">
                  <c:v>57855922.304000005</c:v>
                </c:pt>
                <c:pt idx="2">
                  <c:v>195104398.336</c:v>
                </c:pt>
                <c:pt idx="3">
                  <c:v>314923200</c:v>
                </c:pt>
                <c:pt idx="4">
                  <c:v>329501280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E-0747-96F8-303B640A5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0092248"/>
        <c:axId val="-2129085816"/>
      </c:lineChart>
      <c:catAx>
        <c:axId val="-213009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129085816"/>
        <c:crosses val="autoZero"/>
        <c:auto val="1"/>
        <c:lblAlgn val="ctr"/>
        <c:lblOffset val="100"/>
        <c:noMultiLvlLbl val="0"/>
      </c:catAx>
      <c:valAx>
        <c:axId val="-212908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130092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100" b="0"/>
              <a:t>Денежный поток проекта (простой и дисконтированный) за 3 года</a:t>
            </a:r>
          </a:p>
        </c:rich>
      </c:tx>
      <c:layout>
        <c:manualLayout>
          <c:xMode val="edge"/>
          <c:yMode val="edge"/>
          <c:x val="1.477488633248575E-2"/>
          <c:y val="4.0569016841998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CF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'Ден поток'!$G$106:$J$106</c:f>
              <c:strCache>
                <c:ptCount val="4"/>
                <c:pt idx="1">
                  <c:v>1 год</c:v>
                </c:pt>
                <c:pt idx="2">
                  <c:v>2 год</c:v>
                </c:pt>
                <c:pt idx="3">
                  <c:v>3 год</c:v>
                </c:pt>
              </c:strCache>
            </c:strRef>
          </c:cat>
          <c:val>
            <c:numRef>
              <c:f>'Ден поток'!$G$107:$J$107</c:f>
              <c:numCache>
                <c:formatCode>#,##0</c:formatCode>
                <c:ptCount val="4"/>
                <c:pt idx="0">
                  <c:v>0</c:v>
                </c:pt>
                <c:pt idx="1">
                  <c:v>-7112.2872576719892</c:v>
                </c:pt>
                <c:pt idx="2">
                  <c:v>173732.52711546354</c:v>
                </c:pt>
                <c:pt idx="3">
                  <c:v>292731.56917631632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3-6A41-AE4B-6274E1DE8CD3}"/>
            </c:ext>
          </c:extLst>
        </c:ser>
        <c:ser>
          <c:idx val="1"/>
          <c:order val="1"/>
          <c:tx>
            <c:strRef>
              <c:f>'Ден поток'!$G$108</c:f>
              <c:strCache>
                <c:ptCount val="1"/>
                <c:pt idx="0">
                  <c:v>PV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'Ден поток'!$G$106:$J$106</c:f>
              <c:strCache>
                <c:ptCount val="4"/>
                <c:pt idx="1">
                  <c:v>1 год</c:v>
                </c:pt>
                <c:pt idx="2">
                  <c:v>2 год</c:v>
                </c:pt>
                <c:pt idx="3">
                  <c:v>3 год</c:v>
                </c:pt>
              </c:strCache>
            </c:strRef>
          </c:cat>
          <c:val>
            <c:numRef>
              <c:f>'Ден поток'!$G$108:$J$108</c:f>
              <c:numCache>
                <c:formatCode>#,##0</c:formatCode>
                <c:ptCount val="4"/>
                <c:pt idx="0">
                  <c:v>0</c:v>
                </c:pt>
                <c:pt idx="1">
                  <c:v>-5926.906048059991</c:v>
                </c:pt>
                <c:pt idx="2">
                  <c:v>138850.19988149297</c:v>
                </c:pt>
                <c:pt idx="3">
                  <c:v>342136.01180949039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3-6A41-AE4B-6274E1DE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8865240"/>
        <c:axId val="2097502296"/>
      </c:lineChart>
      <c:catAx>
        <c:axId val="-21388652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 реализации проекта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7502296"/>
        <c:crosses val="autoZero"/>
        <c:auto val="1"/>
        <c:lblAlgn val="ctr"/>
        <c:lblOffset val="100"/>
        <c:noMultiLvlLbl val="0"/>
      </c:catAx>
      <c:valAx>
        <c:axId val="20975022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Тыс. руб.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13886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Arial" panose="020B0604020202020204" pitchFamily="34" charset="0"/>
              </a:defRPr>
            </a:pPr>
            <a:r>
              <a:rPr lang="ru-RU" sz="1000" b="0">
                <a:latin typeface="+mn-lt"/>
                <a:cs typeface="Arial" panose="020B0604020202020204" pitchFamily="34" charset="0"/>
              </a:rPr>
              <a:t>Денежный поток (баланс наличности) с учетом инвестиций по кварталам</a:t>
            </a:r>
          </a:p>
          <a:p>
            <a:pPr>
              <a:defRPr sz="1100" b="0">
                <a:cs typeface="Arial" panose="020B0604020202020204" pitchFamily="34" charset="0"/>
              </a:defRPr>
            </a:pPr>
            <a:endParaRPr lang="ru-RU" sz="1100" b="0">
              <a:latin typeface="+mn-lt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1.0246346910963055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'Ден поток'!$C$93:$N$93</c:f>
              <c:numCache>
                <c:formatCode>#,##0</c:formatCode>
                <c:ptCount val="12"/>
                <c:pt idx="0">
                  <c:v>1965.0771413206503</c:v>
                </c:pt>
                <c:pt idx="1">
                  <c:v>-0.30665867934976632</c:v>
                </c:pt>
                <c:pt idx="2">
                  <c:v>14546.796813392331</c:v>
                </c:pt>
                <c:pt idx="3">
                  <c:v>89774.712742328004</c:v>
                </c:pt>
                <c:pt idx="4">
                  <c:v>9726.5812261023675</c:v>
                </c:pt>
                <c:pt idx="5">
                  <c:v>108760.44043479933</c:v>
                </c:pt>
                <c:pt idx="6">
                  <c:v>129517.68035754064</c:v>
                </c:pt>
                <c:pt idx="7">
                  <c:v>263507.23985779146</c:v>
                </c:pt>
                <c:pt idx="8">
                  <c:v>272351.35024060932</c:v>
                </c:pt>
                <c:pt idx="9">
                  <c:v>415713.83521414187</c:v>
                </c:pt>
                <c:pt idx="10">
                  <c:v>454938.58753495343</c:v>
                </c:pt>
                <c:pt idx="11">
                  <c:v>556238.80903410772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4-0646-B853-21974D949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871104"/>
        <c:axId val="581133616"/>
      </c:lineChart>
      <c:catAx>
        <c:axId val="581871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1133616"/>
        <c:crosses val="autoZero"/>
        <c:auto val="1"/>
        <c:lblAlgn val="ctr"/>
        <c:lblOffset val="100"/>
        <c:noMultiLvlLbl val="0"/>
      </c:catAx>
      <c:valAx>
        <c:axId val="58113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187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1</xdr:row>
      <xdr:rowOff>63500</xdr:rowOff>
    </xdr:from>
    <xdr:to>
      <xdr:col>1</xdr:col>
      <xdr:colOff>63500</xdr:colOff>
      <xdr:row>2</xdr:row>
      <xdr:rowOff>292100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1185133-9BF2-4F41-B03A-F0F09E47F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254000"/>
          <a:ext cx="87630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37</xdr:row>
      <xdr:rowOff>71967</xdr:rowOff>
    </xdr:from>
    <xdr:to>
      <xdr:col>8</xdr:col>
      <xdr:colOff>1054099</xdr:colOff>
      <xdr:row>52</xdr:row>
      <xdr:rowOff>148167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111</xdr:row>
      <xdr:rowOff>6020</xdr:rowOff>
    </xdr:from>
    <xdr:to>
      <xdr:col>17</xdr:col>
      <xdr:colOff>558471</xdr:colOff>
      <xdr:row>125</xdr:row>
      <xdr:rowOff>156441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58EF587-A7CD-DE43-920B-177F77FE2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127</xdr:row>
      <xdr:rowOff>0</xdr:rowOff>
    </xdr:from>
    <xdr:to>
      <xdr:col>13</xdr:col>
      <xdr:colOff>622300</xdr:colOff>
      <xdr:row>141</xdr:row>
      <xdr:rowOff>76200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20698E69-455D-5045-934D-B76ED2F78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ima/Library/Containers/com.microsoft.Excel/Data/Library/Application%20Support/Microsoft/&#1054;&#1088;&#1080;&#1075;&#1080;&#1085;&#1072;&#1083;%20-%20&#1060;&#1080;&#1085;&#1084;&#1086;&#1076;&#1077;&#1083;&#1100;%20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Допущения"/>
      <sheetName val="Финансирование"/>
      <sheetName val="Выручка"/>
      <sheetName val="ПРР"/>
      <sheetName val="ОАКР"/>
      <sheetName val="ОК"/>
      <sheetName val="Налоги"/>
      <sheetName val="ОСиНМА"/>
      <sheetName val="ДДС(п)"/>
      <sheetName val="ДР"/>
      <sheetName val="БЛ"/>
      <sheetName val="ДДС(к)"/>
      <sheetName val="Оценка"/>
      <sheetName val="APV"/>
      <sheetName val="APV (год)"/>
      <sheetName val="Чувствительность"/>
      <sheetName val="ПК"/>
      <sheetName val="Macro"/>
      <sheetName val="Графики"/>
      <sheetName val="Лист1"/>
    </sheetNames>
    <sheetDataSet>
      <sheetData sheetId="0"/>
      <sheetData sheetId="1">
        <row r="10">
          <cell r="F10" t="str">
            <v>4 кв. 2019</v>
          </cell>
          <cell r="G10" t="str">
            <v>1 кв.</v>
          </cell>
          <cell r="H10" t="str">
            <v>2 кв.</v>
          </cell>
          <cell r="I10" t="str">
            <v>3 кв.</v>
          </cell>
          <cell r="J10" t="str">
            <v>4 кв.</v>
          </cell>
          <cell r="K10" t="str">
            <v>5 кв.</v>
          </cell>
          <cell r="L10" t="str">
            <v>6 кв.</v>
          </cell>
          <cell r="M10" t="str">
            <v>7 кв.</v>
          </cell>
          <cell r="N10" t="str">
            <v>8 кв.</v>
          </cell>
          <cell r="O10" t="str">
            <v>9 кв.</v>
          </cell>
          <cell r="P10" t="str">
            <v>10 кв.</v>
          </cell>
          <cell r="Q10" t="str">
            <v>11 кв.</v>
          </cell>
          <cell r="R10" t="str">
            <v>12 кв.</v>
          </cell>
          <cell r="S10" t="str">
            <v>13 кв.</v>
          </cell>
          <cell r="T10" t="str">
            <v>14 кв.</v>
          </cell>
          <cell r="U10" t="str">
            <v>15 кв.</v>
          </cell>
          <cell r="V10" t="str">
            <v>16 кв.</v>
          </cell>
          <cell r="W10" t="str">
            <v>17 кв.</v>
          </cell>
          <cell r="X10" t="str">
            <v>18 кв.</v>
          </cell>
          <cell r="Y10" t="str">
            <v>19 кв.</v>
          </cell>
          <cell r="Z10" t="str">
            <v>20 кв.</v>
          </cell>
          <cell r="AA10" t="str">
            <v>21 кв.</v>
          </cell>
          <cell r="AB10" t="str">
            <v>22 кв.</v>
          </cell>
          <cell r="AC10" t="str">
            <v>23 кв.</v>
          </cell>
          <cell r="AD10" t="str">
            <v>24 кв.</v>
          </cell>
          <cell r="AE10" t="str">
            <v>25 кв.</v>
          </cell>
          <cell r="AF10" t="str">
            <v>26 кв.</v>
          </cell>
          <cell r="AG10" t="str">
            <v>27 кв.</v>
          </cell>
          <cell r="AH10" t="str">
            <v>28 кв.</v>
          </cell>
          <cell r="AI10" t="str">
            <v>29 кв.</v>
          </cell>
          <cell r="AJ10" t="str">
            <v>30 кв.</v>
          </cell>
          <cell r="AK10" t="str">
            <v>31 кв.</v>
          </cell>
          <cell r="AL10" t="str">
            <v>32 кв.</v>
          </cell>
          <cell r="AM10" t="str">
            <v>33 кв.</v>
          </cell>
          <cell r="AN10" t="str">
            <v>34 кв.</v>
          </cell>
          <cell r="AO10" t="str">
            <v>35 кв.</v>
          </cell>
          <cell r="AP10" t="str">
            <v>36 кв.</v>
          </cell>
          <cell r="AQ10" t="str">
            <v>37 кв.</v>
          </cell>
          <cell r="AR10" t="str">
            <v>38 кв.</v>
          </cell>
          <cell r="AS10" t="str">
            <v>39 кв.</v>
          </cell>
          <cell r="AT10" t="str">
            <v>40 кв.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-pex.com/product/mhf-4-smt" TargetMode="External"/><Relationship Id="rId13" Type="http://schemas.openxmlformats.org/officeDocument/2006/relationships/hyperlink" Target="https://ru.mouser.com/ProductDetail/Vishay-Dale/CRCW04021K00FKEDC?qs=E3Y5ESvWgWMj5mY%252BhDIyqg%3D%3D" TargetMode="External"/><Relationship Id="rId18" Type="http://schemas.openxmlformats.org/officeDocument/2006/relationships/hyperlink" Target="https://ru.mouser.com/ProductDetail/Murata-Electronics/GRM155R61A475MEAAD?qs=AEetWsPH0IuXrVCc8yqzOA%3D%3D" TargetMode="External"/><Relationship Id="rId26" Type="http://schemas.openxmlformats.org/officeDocument/2006/relationships/hyperlink" Target="https://ru.mouser.com/ProductDetail/Analog-Devices-Linear-Technology/LTC4054ES5-42TRPBF?qs=hVkxg5c3xu8h%2FLqmkBbr%252Bg%3D%3D" TargetMode="External"/><Relationship Id="rId3" Type="http://schemas.openxmlformats.org/officeDocument/2006/relationships/hyperlink" Target="https://ru.mouser.com/ProductDetail/Torex-Semiconductor/XC6210B332MR-G?qs=AsjdqWjXhJ%2FS4LOuBYdYHQ%3D%3D" TargetMode="External"/><Relationship Id="rId21" Type="http://schemas.openxmlformats.org/officeDocument/2006/relationships/hyperlink" Target="https://ru.mouser.com/ProductDetail/Murata-Electronics/GRM1555C1H330GA01J?qs=ouTquLLW2S5YN35c6U5cQA%3D%3D" TargetMode="External"/><Relationship Id="rId7" Type="http://schemas.openxmlformats.org/officeDocument/2006/relationships/hyperlink" Target="https://www.i-pex.com/product/mhf-4-smt" TargetMode="External"/><Relationship Id="rId12" Type="http://schemas.openxmlformats.org/officeDocument/2006/relationships/hyperlink" Target="https://ru.mouser.com/ProductDetail/Vishay-Dale/CRCW0402330RFKEDC?qs=E3Y5ESvWgWNqcLE1pkQokQ%3D%3D" TargetMode="External"/><Relationship Id="rId17" Type="http://schemas.openxmlformats.org/officeDocument/2006/relationships/hyperlink" Target="https://ru.mouser.com/ProductDetail/Murata-Electronics/GRM155C80G106ME44D?qs=T3oQrply3y9851rB85WA8A%3D%3D" TargetMode="External"/><Relationship Id="rId25" Type="http://schemas.openxmlformats.org/officeDocument/2006/relationships/hyperlink" Target="https://ru.mouser.com/ProductDetail/Wurth-Elektronik/150060BS75000?qs=LlUlMxKIyB2DLLpXQThavA%3D%3D" TargetMode="External"/><Relationship Id="rId2" Type="http://schemas.openxmlformats.org/officeDocument/2006/relationships/hyperlink" Target="https://ru.mouser.com/ProductDetail/Vishay-Dale/CRCW040247K0FKEDC?qs=E3Y5ESvWgWPGZR8%252BSR%252BLBA%3D%3D" TargetMode="External"/><Relationship Id="rId16" Type="http://schemas.openxmlformats.org/officeDocument/2006/relationships/hyperlink" Target="https://ru.mouser.com/ProductDetail/Murata-Electronics/GRM155R6YA225KE11D?qs=sGAEpiMZZMsh%252B1woXyUXj5mv%252BAJIhM7N1zmDI2vtbEo%3D" TargetMode="External"/><Relationship Id="rId20" Type="http://schemas.openxmlformats.org/officeDocument/2006/relationships/hyperlink" Target="https://ru.mouser.com/ProductDetail/Murata-Electronics/GRM1555C2AR60BA01D?qs=vCoBJ5OiJk7tee5nEeJsIA%3D%3D" TargetMode="External"/><Relationship Id="rId29" Type="http://schemas.openxmlformats.org/officeDocument/2006/relationships/hyperlink" Target="https://www.everythingrf.com/products/connectors/i-pex-connectors/63-1394-20462-001e" TargetMode="External"/><Relationship Id="rId1" Type="http://schemas.openxmlformats.org/officeDocument/2006/relationships/hyperlink" Target="https://ru.mouser.com/ProductDetail/Vishay-Dale/CRCW040210K0FKEDC?qs=E3Y5ESvWgWPiNLcGzwCGPg%3D%3D" TargetMode="External"/><Relationship Id="rId6" Type="http://schemas.openxmlformats.org/officeDocument/2006/relationships/hyperlink" Target="http://www.quartz1.com/price/type.php?group=430&amp;type=SMD02012C2&amp;p1=32,768" TargetMode="External"/><Relationship Id="rId11" Type="http://schemas.openxmlformats.org/officeDocument/2006/relationships/hyperlink" Target="https://www.barkode.ru/catalog/473/55368/?utm_source=market_bar_msk&amp;utm_term=55368&amp;ymclid=15900596471754525528900002" TargetMode="External"/><Relationship Id="rId24" Type="http://schemas.openxmlformats.org/officeDocument/2006/relationships/hyperlink" Target="https://ru.mouser.com/ProductDetail/Wurth-Elektronik/150060RS75000?qs=LlUlMxKIyB3QnmZ3fw%2FVCA%3D%3D" TargetMode="External"/><Relationship Id="rId5" Type="http://schemas.openxmlformats.org/officeDocument/2006/relationships/hyperlink" Target="https://ru.mouser.com/ProductDetail/NDK/NT2016SA-26000000MHZ-NBG2?qs=w%2Fv1CP2dgqq%252BPwkA9d27AQ%3D%3D" TargetMode="External"/><Relationship Id="rId15" Type="http://schemas.openxmlformats.org/officeDocument/2006/relationships/hyperlink" Target="https://ru.mouser.com/ProductDetail/Vishay-Dale/CRCW0402200KFKEDC?qs=E3Y5ESvWgWMCMks3h5Tv0w%3D%3D" TargetMode="External"/><Relationship Id="rId23" Type="http://schemas.openxmlformats.org/officeDocument/2006/relationships/hyperlink" Target="https://www.telemetrya.ru/catalog/optoelektronika/to_1608bc_bf_svetodiod_siniy_smd_1608_247mkd_120_468nm_blue/" TargetMode="External"/><Relationship Id="rId28" Type="http://schemas.openxmlformats.org/officeDocument/2006/relationships/hyperlink" Target="https://www.euromobile.ru/produkciya/lora-moduli/s76g/" TargetMode="External"/><Relationship Id="rId10" Type="http://schemas.openxmlformats.org/officeDocument/2006/relationships/hyperlink" Target="https://ru.mouser.com/ProductDetail/Maxim-Integrated/MAX30102EFD%2bT?qs=nVS1qgv%252BQrkHA4%2FoFYriFA%3D%3D" TargetMode="External"/><Relationship Id="rId19" Type="http://schemas.openxmlformats.org/officeDocument/2006/relationships/hyperlink" Target="https://ru.mouser.com/ProductDetail/Murata-Electronics/GRM155R61H104KE19D?qs=sGAEpiMZZMsh%252B1woXyUXj1sgm%252BdNxBysNLRd4qUviQU%3D" TargetMode="External"/><Relationship Id="rId4" Type="http://schemas.openxmlformats.org/officeDocument/2006/relationships/hyperlink" Target="https://ru.mouser.com/ProductDetail/Torex-Semiconductor/XC6210B182MR-G?qs=AsjdqWjXhJ%2FyaMgAAl3B5g%3D%3D" TargetMode="External"/><Relationship Id="rId9" Type="http://schemas.openxmlformats.org/officeDocument/2006/relationships/hyperlink" Target="http://www.rct.ru/warehouse/13443/80028483.html" TargetMode="External"/><Relationship Id="rId14" Type="http://schemas.openxmlformats.org/officeDocument/2006/relationships/hyperlink" Target="https://ru.mouser.com/ProductDetail/Vishay-Dale/CRCW0402100KFKEDC?qs=E3Y5ESvWgWPiKlL6PvtQMQ%3D%3D" TargetMode="External"/><Relationship Id="rId22" Type="http://schemas.openxmlformats.org/officeDocument/2006/relationships/hyperlink" Target="https://ru.mouser.com/ProductDetail/Murata-Electronics/GRM1555C1ER47BA01J?qs=QzBtWTOodeX%252BRE6GGcUCkQ%3D%3D" TargetMode="External"/><Relationship Id="rId27" Type="http://schemas.openxmlformats.org/officeDocument/2006/relationships/hyperlink" Target="https://techship.com/products/acsip-lorawan-gps-sip-module-s76g/" TargetMode="External"/><Relationship Id="rId30" Type="http://schemas.openxmlformats.org/officeDocument/2006/relationships/hyperlink" Target="https://www.yoycart.com/Product/18744475307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8045-4FD5-304F-A08B-EF161605EB70}">
  <dimension ref="B2:C23"/>
  <sheetViews>
    <sheetView tabSelected="1" workbookViewId="0">
      <selection activeCell="C25" sqref="C25"/>
    </sheetView>
  </sheetViews>
  <sheetFormatPr baseColWidth="10" defaultRowHeight="15"/>
  <cols>
    <col min="1" max="1" width="13" customWidth="1"/>
    <col min="2" max="2" width="21.1640625" customWidth="1"/>
    <col min="3" max="3" width="145.5" customWidth="1"/>
  </cols>
  <sheetData>
    <row r="2" spans="2:3" ht="51" customHeight="1">
      <c r="B2" s="444" t="s">
        <v>525</v>
      </c>
    </row>
    <row r="3" spans="2:3" ht="50" customHeight="1"/>
    <row r="4" spans="2:3" ht="19">
      <c r="B4" s="244" t="s">
        <v>299</v>
      </c>
    </row>
    <row r="8" spans="2:3">
      <c r="B8" t="s">
        <v>281</v>
      </c>
    </row>
    <row r="10" spans="2:3" ht="16">
      <c r="B10" s="239" t="s">
        <v>287</v>
      </c>
      <c r="C10" s="240" t="s">
        <v>526</v>
      </c>
    </row>
    <row r="11" spans="2:3" ht="16">
      <c r="B11" s="239" t="s">
        <v>288</v>
      </c>
      <c r="C11" s="240" t="s">
        <v>527</v>
      </c>
    </row>
    <row r="12" spans="2:3" ht="16">
      <c r="B12" s="239" t="s">
        <v>289</v>
      </c>
      <c r="C12" s="240" t="s">
        <v>528</v>
      </c>
    </row>
    <row r="13" spans="2:3" ht="16">
      <c r="B13" s="241" t="s">
        <v>290</v>
      </c>
      <c r="C13" s="240" t="s">
        <v>282</v>
      </c>
    </row>
    <row r="14" spans="2:3" ht="16">
      <c r="B14" s="241" t="s">
        <v>291</v>
      </c>
      <c r="C14" s="240" t="s">
        <v>283</v>
      </c>
    </row>
    <row r="15" spans="2:3" ht="16">
      <c r="B15" s="241" t="s">
        <v>292</v>
      </c>
      <c r="C15" s="240" t="s">
        <v>293</v>
      </c>
    </row>
    <row r="16" spans="2:3" ht="16">
      <c r="B16" s="242" t="s">
        <v>295</v>
      </c>
      <c r="C16" s="240" t="s">
        <v>284</v>
      </c>
    </row>
    <row r="17" spans="2:3" ht="16">
      <c r="B17" s="242" t="s">
        <v>296</v>
      </c>
      <c r="C17" s="240" t="s">
        <v>294</v>
      </c>
    </row>
    <row r="18" spans="2:3" ht="16">
      <c r="B18" s="242" t="s">
        <v>297</v>
      </c>
      <c r="C18" s="240" t="s">
        <v>285</v>
      </c>
    </row>
    <row r="19" spans="2:3" ht="16">
      <c r="B19" s="243" t="s">
        <v>298</v>
      </c>
      <c r="C19" s="240" t="s">
        <v>286</v>
      </c>
    </row>
    <row r="23" spans="2:3">
      <c r="B23" t="s">
        <v>529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8BAA-651D-E448-A713-CDBA0F070545}">
  <sheetPr>
    <tabColor rgb="FF00B050"/>
  </sheetPr>
  <dimension ref="A3:AD178"/>
  <sheetViews>
    <sheetView workbookViewId="0">
      <selection activeCell="K167" sqref="K167"/>
    </sheetView>
  </sheetViews>
  <sheetFormatPr baseColWidth="10" defaultColWidth="8.83203125" defaultRowHeight="15"/>
  <cols>
    <col min="1" max="1" width="6.33203125" style="92" customWidth="1"/>
    <col min="2" max="2" width="39" style="93" customWidth="1"/>
    <col min="3" max="14" width="8.33203125" style="84" customWidth="1"/>
    <col min="15" max="24" width="8.33203125" style="84" hidden="1" customWidth="1"/>
    <col min="25" max="25" width="8.83203125" style="80"/>
    <col min="26" max="26" width="11.6640625" style="196" customWidth="1"/>
    <col min="27" max="27" width="8.83203125" style="80"/>
    <col min="28" max="28" width="18.83203125" style="80" hidden="1" customWidth="1"/>
    <col min="29" max="29" width="16.33203125" style="80" hidden="1" customWidth="1"/>
    <col min="30" max="30" width="63.6640625" style="80" hidden="1" customWidth="1"/>
    <col min="31" max="16384" width="8.83203125" style="80"/>
  </cols>
  <sheetData>
    <row r="3" spans="1:29" ht="62" customHeight="1">
      <c r="A3" s="308" t="s">
        <v>171</v>
      </c>
      <c r="B3" s="310"/>
      <c r="C3" s="306" t="s">
        <v>172</v>
      </c>
      <c r="D3" s="307"/>
      <c r="E3" s="306" t="s">
        <v>173</v>
      </c>
      <c r="F3" s="307"/>
      <c r="G3" s="306" t="s">
        <v>174</v>
      </c>
      <c r="H3" s="307"/>
      <c r="I3" s="306" t="s">
        <v>174</v>
      </c>
      <c r="J3" s="307"/>
      <c r="K3" s="306" t="s">
        <v>174</v>
      </c>
      <c r="L3" s="307"/>
      <c r="M3" s="306" t="s">
        <v>174</v>
      </c>
      <c r="N3" s="307"/>
      <c r="O3" s="106"/>
      <c r="P3" s="106"/>
      <c r="Q3" s="106"/>
      <c r="R3" s="106"/>
      <c r="S3" s="106"/>
      <c r="T3" s="106"/>
      <c r="U3" s="106"/>
      <c r="V3" s="106"/>
      <c r="W3" s="106"/>
      <c r="X3" s="106"/>
    </row>
    <row r="4" spans="1:29" ht="16" thickBot="1"/>
    <row r="5" spans="1:29" ht="16" thickBot="1">
      <c r="A5" s="311" t="s">
        <v>87</v>
      </c>
      <c r="B5" s="313" t="s">
        <v>88</v>
      </c>
      <c r="C5" s="315" t="s">
        <v>159</v>
      </c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6"/>
    </row>
    <row r="6" spans="1:29" ht="16" thickBot="1">
      <c r="A6" s="312"/>
      <c r="B6" s="323"/>
      <c r="C6" s="113">
        <v>1</v>
      </c>
      <c r="D6" s="113">
        <v>2</v>
      </c>
      <c r="E6" s="113">
        <v>3</v>
      </c>
      <c r="F6" s="113">
        <v>4</v>
      </c>
      <c r="G6" s="114">
        <v>5</v>
      </c>
      <c r="H6" s="114">
        <v>6</v>
      </c>
      <c r="I6" s="114">
        <v>7</v>
      </c>
      <c r="J6" s="114">
        <v>8</v>
      </c>
      <c r="K6" s="115">
        <v>9</v>
      </c>
      <c r="L6" s="115">
        <v>10</v>
      </c>
      <c r="M6" s="115">
        <v>11</v>
      </c>
      <c r="N6" s="115">
        <v>12</v>
      </c>
      <c r="O6" s="104">
        <v>13</v>
      </c>
      <c r="P6" s="104">
        <v>14</v>
      </c>
      <c r="Q6" s="104">
        <v>15</v>
      </c>
      <c r="R6" s="104">
        <v>16</v>
      </c>
      <c r="S6" s="104">
        <v>17</v>
      </c>
      <c r="T6" s="104">
        <v>18</v>
      </c>
      <c r="U6" s="104">
        <v>19</v>
      </c>
      <c r="V6" s="104">
        <v>20</v>
      </c>
      <c r="W6" s="104">
        <v>21</v>
      </c>
      <c r="X6" s="105">
        <v>22</v>
      </c>
      <c r="Z6" s="81" t="s">
        <v>89</v>
      </c>
    </row>
    <row r="7" spans="1:29">
      <c r="A7" s="319" t="s">
        <v>90</v>
      </c>
      <c r="B7" s="101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Z7" s="81"/>
    </row>
    <row r="8" spans="1:29" ht="26">
      <c r="A8" s="319"/>
      <c r="B8" s="109" t="s">
        <v>164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00"/>
      <c r="P8" s="100"/>
      <c r="Q8" s="100"/>
      <c r="R8" s="100"/>
      <c r="S8" s="100"/>
      <c r="T8" s="100"/>
      <c r="U8" s="100"/>
      <c r="V8" s="100"/>
      <c r="W8" s="100"/>
      <c r="X8" s="100"/>
      <c r="Z8" s="218"/>
    </row>
    <row r="9" spans="1:29" ht="16" customHeight="1">
      <c r="A9" s="319"/>
      <c r="B9" s="110" t="s">
        <v>143</v>
      </c>
      <c r="C9" s="198">
        <f>SUM(КПпроизв!B22:D22)/1000</f>
        <v>360</v>
      </c>
      <c r="D9" s="198">
        <f>SUM(КПпроизв!E22:G22)/1000</f>
        <v>360</v>
      </c>
      <c r="E9" s="198">
        <f>SUM(КПпроизв!H22:J22)/1000</f>
        <v>1230</v>
      </c>
      <c r="F9" s="198">
        <f>SUM(КПпроизв!K22:M22)/1000</f>
        <v>1230</v>
      </c>
      <c r="G9" s="198">
        <f>SUM(КПпроизв!B43:D43)/1000</f>
        <v>1710</v>
      </c>
      <c r="H9" s="198">
        <f>SUM(КПпроизв!E43:G43)/1000</f>
        <v>1710</v>
      </c>
      <c r="I9" s="198">
        <f>SUM(КПпроизв!H43:J43)/1000</f>
        <v>1710</v>
      </c>
      <c r="J9" s="198">
        <f>SUM(КПпроизв!K43:M43)/1000</f>
        <v>1710</v>
      </c>
      <c r="K9" s="198">
        <f>SUM(КПпроизв!B64:D64)/1000</f>
        <v>1800</v>
      </c>
      <c r="L9" s="198">
        <f>SUM(КПпроизв!E64:G64)/1000</f>
        <v>1800</v>
      </c>
      <c r="M9" s="198">
        <f>SUM(КПпроизв!H64:J64)/1000</f>
        <v>1800</v>
      </c>
      <c r="N9" s="198">
        <f>SUM(КПпроизв!K64:M64)/1000</f>
        <v>1800</v>
      </c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200"/>
      <c r="Z9" s="219">
        <f>SUM(C9:X9)</f>
        <v>17220</v>
      </c>
      <c r="AB9" s="80" t="s">
        <v>211</v>
      </c>
      <c r="AC9" s="84">
        <f>Z58</f>
        <v>2200280</v>
      </c>
    </row>
    <row r="10" spans="1:29" ht="16">
      <c r="A10" s="319"/>
      <c r="B10" s="110" t="s">
        <v>150</v>
      </c>
      <c r="C10" s="198">
        <f>C9/100*30.2</f>
        <v>108.72</v>
      </c>
      <c r="D10" s="198">
        <f t="shared" ref="D10:N10" si="0">D9/100*30.2</f>
        <v>108.72</v>
      </c>
      <c r="E10" s="198">
        <f t="shared" si="0"/>
        <v>371.46000000000004</v>
      </c>
      <c r="F10" s="198">
        <f t="shared" si="0"/>
        <v>371.46000000000004</v>
      </c>
      <c r="G10" s="198">
        <f t="shared" si="0"/>
        <v>516.42000000000007</v>
      </c>
      <c r="H10" s="198">
        <f t="shared" si="0"/>
        <v>516.42000000000007</v>
      </c>
      <c r="I10" s="198">
        <f t="shared" si="0"/>
        <v>516.42000000000007</v>
      </c>
      <c r="J10" s="198">
        <f t="shared" si="0"/>
        <v>516.42000000000007</v>
      </c>
      <c r="K10" s="198">
        <f t="shared" si="0"/>
        <v>543.6</v>
      </c>
      <c r="L10" s="198">
        <f t="shared" si="0"/>
        <v>543.6</v>
      </c>
      <c r="M10" s="198">
        <f t="shared" si="0"/>
        <v>543.6</v>
      </c>
      <c r="N10" s="198">
        <f t="shared" si="0"/>
        <v>543.6</v>
      </c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200"/>
      <c r="Z10" s="219">
        <f t="shared" ref="Z10:Z28" si="1">SUM(C10:X10)</f>
        <v>5200.4400000000014</v>
      </c>
      <c r="AB10" s="80" t="s">
        <v>92</v>
      </c>
      <c r="AC10" s="84">
        <f>SUM(Z9,Z11:Z25,Z31,Z33:Z46,Z61:Z65,Z69:Z73,Z79:Z83)</f>
        <v>1386301.2762968007</v>
      </c>
    </row>
    <row r="11" spans="1:29" ht="16">
      <c r="A11" s="319"/>
      <c r="B11" s="110" t="s">
        <v>151</v>
      </c>
      <c r="C11" s="198">
        <f>SUM('План производства'!B9:D9)*СКпроизв!C19/1000</f>
        <v>340.53659470000002</v>
      </c>
      <c r="D11" s="198">
        <f>SUM('План производства'!E9:G9)*СКпроизв!C19/1000</f>
        <v>0</v>
      </c>
      <c r="E11" s="198">
        <f>SUM('План производства'!H9:J9)*СКпроизв!E19/1000</f>
        <v>13670.898384</v>
      </c>
      <c r="F11" s="198">
        <f>SUM('План производства'!K9:M9)*СКпроизв!E19/1000</f>
        <v>20506.347576</v>
      </c>
      <c r="G11" s="198">
        <f>SUM('План производства'!E21:G21)*СКпроизв!G19/1000+SUM('План производства'!B21:D21)*СКпроизв!G19/1000</f>
        <v>222701.40143999996</v>
      </c>
      <c r="H11" s="198">
        <f>SUM('План производства'!H21:J21)*СКпроизв!G19/1000</f>
        <v>89080.560575999989</v>
      </c>
      <c r="I11" s="198">
        <f>SUM('План производства'!I21:K21)*СКпроизв!G19/1000</f>
        <v>133620.84086399997</v>
      </c>
      <c r="J11" s="198">
        <f>SUM('План производства'!B33:D33)*СКпроизв!G19/1000</f>
        <v>89080.560575999989</v>
      </c>
      <c r="K11" s="198">
        <f>SUM('План производства'!C33:E33)*СКпроизв!G19/1000</f>
        <v>133620.84086399997</v>
      </c>
      <c r="L11" s="198">
        <f>SUM('План производства'!H33:J33)*СКпроизв!G19/1000</f>
        <v>89080.560575999989</v>
      </c>
      <c r="M11" s="198">
        <f>SUM('План производства'!E33:G33)*СКпроизв!G19/1000</f>
        <v>133620.84086399997</v>
      </c>
      <c r="N11" s="198">
        <f>SUM('План производства'!E33:G33)*СКпроизв!G19/1000</f>
        <v>133620.84086399997</v>
      </c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0"/>
      <c r="Z11" s="219">
        <f t="shared" si="1"/>
        <v>1058944.2291786997</v>
      </c>
      <c r="AB11" s="80" t="s">
        <v>93</v>
      </c>
      <c r="AC11" s="84">
        <f>AC9-AC10</f>
        <v>813978.7237031993</v>
      </c>
    </row>
    <row r="12" spans="1:29">
      <c r="A12" s="319"/>
      <c r="B12" s="110" t="s">
        <v>158</v>
      </c>
      <c r="C12" s="198">
        <v>0</v>
      </c>
      <c r="D12" s="198">
        <v>420</v>
      </c>
      <c r="E12" s="198">
        <v>180</v>
      </c>
      <c r="F12" s="198">
        <v>0</v>
      </c>
      <c r="G12" s="198">
        <v>120</v>
      </c>
      <c r="H12" s="198">
        <v>10000</v>
      </c>
      <c r="I12" s="198">
        <v>120</v>
      </c>
      <c r="J12" s="198">
        <v>5000</v>
      </c>
      <c r="K12" s="198">
        <v>120</v>
      </c>
      <c r="L12" s="198">
        <v>120</v>
      </c>
      <c r="M12" s="198">
        <v>120</v>
      </c>
      <c r="N12" s="198">
        <v>7000</v>
      </c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0"/>
      <c r="Z12" s="219">
        <f t="shared" si="1"/>
        <v>23200</v>
      </c>
      <c r="AC12" s="84"/>
    </row>
    <row r="13" spans="1:29">
      <c r="A13" s="319"/>
      <c r="B13" s="110" t="s">
        <v>161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0"/>
      <c r="Z13" s="219">
        <f t="shared" si="1"/>
        <v>0</v>
      </c>
      <c r="AC13" s="84"/>
    </row>
    <row r="14" spans="1:29" ht="16">
      <c r="A14" s="319"/>
      <c r="B14" s="110" t="s">
        <v>152</v>
      </c>
      <c r="C14" s="198">
        <v>54</v>
      </c>
      <c r="D14" s="198">
        <v>54</v>
      </c>
      <c r="E14" s="198">
        <v>54</v>
      </c>
      <c r="F14" s="198">
        <v>54</v>
      </c>
      <c r="G14" s="198">
        <v>54</v>
      </c>
      <c r="H14" s="198">
        <v>54</v>
      </c>
      <c r="I14" s="198">
        <v>54</v>
      </c>
      <c r="J14" s="198">
        <v>54</v>
      </c>
      <c r="K14" s="198">
        <v>54</v>
      </c>
      <c r="L14" s="198">
        <v>54</v>
      </c>
      <c r="M14" s="198">
        <v>54</v>
      </c>
      <c r="N14" s="198">
        <v>54</v>
      </c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0"/>
      <c r="Z14" s="219">
        <f t="shared" si="1"/>
        <v>648</v>
      </c>
      <c r="AB14" s="80" t="s">
        <v>94</v>
      </c>
      <c r="AC14" s="84">
        <f>Z10+Z26+Z47+Z32</f>
        <v>167295.46887743493</v>
      </c>
    </row>
    <row r="15" spans="1:29">
      <c r="A15" s="319"/>
      <c r="B15" s="110" t="s">
        <v>153</v>
      </c>
      <c r="C15" s="202"/>
      <c r="D15" s="202"/>
      <c r="E15" s="198">
        <f>E14/10</f>
        <v>5.4</v>
      </c>
      <c r="F15" s="198">
        <f t="shared" ref="F15:N15" si="2">F14/10</f>
        <v>5.4</v>
      </c>
      <c r="G15" s="198">
        <f t="shared" si="2"/>
        <v>5.4</v>
      </c>
      <c r="H15" s="198">
        <f t="shared" si="2"/>
        <v>5.4</v>
      </c>
      <c r="I15" s="198">
        <f t="shared" si="2"/>
        <v>5.4</v>
      </c>
      <c r="J15" s="198">
        <f t="shared" si="2"/>
        <v>5.4</v>
      </c>
      <c r="K15" s="198">
        <f t="shared" si="2"/>
        <v>5.4</v>
      </c>
      <c r="L15" s="198">
        <f t="shared" si="2"/>
        <v>5.4</v>
      </c>
      <c r="M15" s="198">
        <f t="shared" si="2"/>
        <v>5.4</v>
      </c>
      <c r="N15" s="198">
        <f t="shared" si="2"/>
        <v>5.4</v>
      </c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0"/>
      <c r="Z15" s="219">
        <f t="shared" si="1"/>
        <v>53.999999999999993</v>
      </c>
      <c r="AC15" s="84"/>
    </row>
    <row r="16" spans="1:29">
      <c r="A16" s="319"/>
      <c r="B16" s="110" t="s">
        <v>154</v>
      </c>
      <c r="C16" s="202"/>
      <c r="D16" s="202"/>
      <c r="E16" s="202"/>
      <c r="F16" s="202"/>
      <c r="G16" s="198">
        <v>20</v>
      </c>
      <c r="H16" s="198">
        <v>20</v>
      </c>
      <c r="I16" s="198">
        <v>20</v>
      </c>
      <c r="J16" s="198">
        <v>20</v>
      </c>
      <c r="K16" s="198">
        <v>20</v>
      </c>
      <c r="L16" s="198">
        <v>20</v>
      </c>
      <c r="M16" s="198">
        <v>20</v>
      </c>
      <c r="N16" s="198">
        <v>20</v>
      </c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0"/>
      <c r="Z16" s="219">
        <f t="shared" si="1"/>
        <v>160</v>
      </c>
      <c r="AC16" s="84"/>
    </row>
    <row r="17" spans="1:30">
      <c r="A17" s="319"/>
      <c r="B17" s="110" t="s">
        <v>145</v>
      </c>
      <c r="C17" s="198">
        <v>5</v>
      </c>
      <c r="D17" s="198">
        <v>5</v>
      </c>
      <c r="E17" s="198">
        <v>5</v>
      </c>
      <c r="F17" s="198">
        <v>5</v>
      </c>
      <c r="G17" s="198">
        <v>10</v>
      </c>
      <c r="H17" s="198">
        <v>10</v>
      </c>
      <c r="I17" s="198">
        <v>10</v>
      </c>
      <c r="J17" s="198">
        <v>10</v>
      </c>
      <c r="K17" s="198">
        <v>10</v>
      </c>
      <c r="L17" s="198">
        <v>10</v>
      </c>
      <c r="M17" s="198">
        <v>10</v>
      </c>
      <c r="N17" s="198">
        <v>10</v>
      </c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0"/>
      <c r="Z17" s="219">
        <f t="shared" si="1"/>
        <v>100</v>
      </c>
      <c r="AC17" s="84"/>
    </row>
    <row r="18" spans="1:30">
      <c r="A18" s="319"/>
      <c r="B18" s="110" t="s">
        <v>146</v>
      </c>
      <c r="C18" s="198">
        <v>6</v>
      </c>
      <c r="D18" s="198">
        <v>6</v>
      </c>
      <c r="E18" s="198">
        <v>9</v>
      </c>
      <c r="F18" s="198">
        <v>9</v>
      </c>
      <c r="G18" s="198">
        <v>15</v>
      </c>
      <c r="H18" s="198">
        <v>15</v>
      </c>
      <c r="I18" s="198">
        <v>15</v>
      </c>
      <c r="J18" s="198">
        <v>15</v>
      </c>
      <c r="K18" s="198">
        <v>15</v>
      </c>
      <c r="L18" s="198">
        <v>15</v>
      </c>
      <c r="M18" s="198">
        <v>15</v>
      </c>
      <c r="N18" s="198">
        <v>15</v>
      </c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0"/>
      <c r="Z18" s="219">
        <f t="shared" si="1"/>
        <v>150</v>
      </c>
      <c r="AC18" s="84"/>
    </row>
    <row r="19" spans="1:30" ht="16">
      <c r="A19" s="319"/>
      <c r="B19" s="110" t="s">
        <v>155</v>
      </c>
      <c r="C19" s="198">
        <v>70</v>
      </c>
      <c r="D19" s="198">
        <v>70</v>
      </c>
      <c r="E19" s="198">
        <v>300</v>
      </c>
      <c r="F19" s="198">
        <v>300</v>
      </c>
      <c r="G19" s="198">
        <v>500</v>
      </c>
      <c r="H19" s="198">
        <v>500</v>
      </c>
      <c r="I19" s="198">
        <v>500</v>
      </c>
      <c r="J19" s="198">
        <v>500</v>
      </c>
      <c r="K19" s="198">
        <v>500</v>
      </c>
      <c r="L19" s="198">
        <v>500</v>
      </c>
      <c r="M19" s="198">
        <v>500</v>
      </c>
      <c r="N19" s="198">
        <v>500</v>
      </c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0"/>
      <c r="Z19" s="219">
        <f t="shared" si="1"/>
        <v>4740</v>
      </c>
      <c r="AB19" s="80" t="s">
        <v>95</v>
      </c>
      <c r="AC19" s="84">
        <f>AC11-AC14</f>
        <v>646683.25482576434</v>
      </c>
    </row>
    <row r="20" spans="1:30">
      <c r="A20" s="319"/>
      <c r="B20" s="110" t="s">
        <v>147</v>
      </c>
      <c r="C20" s="198"/>
      <c r="D20" s="198"/>
      <c r="E20" s="198">
        <v>60</v>
      </c>
      <c r="F20" s="198">
        <v>60</v>
      </c>
      <c r="G20" s="198">
        <v>60</v>
      </c>
      <c r="H20" s="198">
        <v>60</v>
      </c>
      <c r="I20" s="198">
        <v>60</v>
      </c>
      <c r="J20" s="198">
        <v>60</v>
      </c>
      <c r="K20" s="198">
        <v>60</v>
      </c>
      <c r="L20" s="198">
        <v>60</v>
      </c>
      <c r="M20" s="198">
        <v>60</v>
      </c>
      <c r="N20" s="198">
        <v>60</v>
      </c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0"/>
      <c r="Z20" s="219">
        <f t="shared" si="1"/>
        <v>600</v>
      </c>
      <c r="AC20" s="84"/>
    </row>
    <row r="21" spans="1:30">
      <c r="A21" s="319"/>
      <c r="B21" s="110" t="s">
        <v>162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0"/>
      <c r="Z21" s="219">
        <f t="shared" si="1"/>
        <v>0</v>
      </c>
      <c r="AC21" s="84"/>
    </row>
    <row r="22" spans="1:30">
      <c r="A22" s="319"/>
      <c r="B22" s="110" t="s">
        <v>156</v>
      </c>
      <c r="C22" s="198">
        <f>C11/100*5</f>
        <v>17.026829735000003</v>
      </c>
      <c r="D22" s="198">
        <f t="shared" ref="D22" si="3">D11/100*5</f>
        <v>0</v>
      </c>
      <c r="E22" s="198">
        <f>E11/100*2</f>
        <v>273.41796768</v>
      </c>
      <c r="F22" s="198">
        <f>E11/100*2</f>
        <v>273.41796768</v>
      </c>
      <c r="G22" s="198">
        <f>G11/100*5</f>
        <v>11135.070071999999</v>
      </c>
      <c r="H22" s="198">
        <f t="shared" ref="H22:N22" si="4">H11/100*5</f>
        <v>4454.0280287999994</v>
      </c>
      <c r="I22" s="198">
        <f t="shared" si="4"/>
        <v>6681.0420431999992</v>
      </c>
      <c r="J22" s="198">
        <f t="shared" si="4"/>
        <v>4454.0280287999994</v>
      </c>
      <c r="K22" s="198">
        <f t="shared" si="4"/>
        <v>6681.0420431999992</v>
      </c>
      <c r="L22" s="198">
        <f t="shared" si="4"/>
        <v>4454.0280287999994</v>
      </c>
      <c r="M22" s="198">
        <f t="shared" si="4"/>
        <v>6681.0420431999992</v>
      </c>
      <c r="N22" s="198">
        <f t="shared" si="4"/>
        <v>6681.0420431999992</v>
      </c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0"/>
      <c r="Z22" s="219">
        <f t="shared" si="1"/>
        <v>51785.185096294997</v>
      </c>
      <c r="AC22" s="84"/>
    </row>
    <row r="23" spans="1:30">
      <c r="A23" s="319"/>
      <c r="B23" s="110" t="s">
        <v>149</v>
      </c>
      <c r="C23" s="198"/>
      <c r="D23" s="198">
        <f t="shared" ref="D23:N23" si="5">D11/100*4</f>
        <v>0</v>
      </c>
      <c r="E23" s="198">
        <f t="shared" si="5"/>
        <v>546.83593536000001</v>
      </c>
      <c r="F23" s="198">
        <f>E11/100*4</f>
        <v>546.83593536000001</v>
      </c>
      <c r="G23" s="198">
        <f t="shared" si="5"/>
        <v>8908.0560575999989</v>
      </c>
      <c r="H23" s="198">
        <f t="shared" si="5"/>
        <v>3563.2224230399997</v>
      </c>
      <c r="I23" s="198">
        <f t="shared" si="5"/>
        <v>5344.8336345599992</v>
      </c>
      <c r="J23" s="198">
        <f t="shared" si="5"/>
        <v>3563.2224230399997</v>
      </c>
      <c r="K23" s="198">
        <f t="shared" si="5"/>
        <v>5344.8336345599992</v>
      </c>
      <c r="L23" s="198">
        <f t="shared" si="5"/>
        <v>3563.2224230399997</v>
      </c>
      <c r="M23" s="198">
        <f t="shared" si="5"/>
        <v>5344.8336345599992</v>
      </c>
      <c r="N23" s="198">
        <f t="shared" si="5"/>
        <v>5344.8336345599992</v>
      </c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0"/>
      <c r="Z23" s="219">
        <f t="shared" si="1"/>
        <v>42070.72973567999</v>
      </c>
      <c r="AC23" s="84"/>
    </row>
    <row r="24" spans="1:30" ht="16">
      <c r="A24" s="319"/>
      <c r="B24" s="110" t="s">
        <v>157</v>
      </c>
      <c r="C24" s="198"/>
      <c r="D24" s="198"/>
      <c r="E24" s="198">
        <v>200</v>
      </c>
      <c r="F24" s="198">
        <v>200</v>
      </c>
      <c r="G24" s="198">
        <v>1000</v>
      </c>
      <c r="H24" s="198">
        <f>G27/100*15</f>
        <v>37383.435156794396</v>
      </c>
      <c r="I24" s="198">
        <f>H28/100*5</f>
        <v>6057.7106576759652</v>
      </c>
      <c r="J24" s="198">
        <f t="shared" ref="J24:N24" si="6">I28/100*15</f>
        <v>3560.6400492854559</v>
      </c>
      <c r="K24" s="198">
        <f>J28/100*5</f>
        <v>8018.261810605165</v>
      </c>
      <c r="L24" s="198">
        <f t="shared" si="6"/>
        <v>245.86377961668333</v>
      </c>
      <c r="M24" s="198">
        <f>L28/100*5</f>
        <v>6926.1804222234377</v>
      </c>
      <c r="N24" s="198">
        <f t="shared" si="6"/>
        <v>411.31410995651532</v>
      </c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0"/>
      <c r="Z24" s="219">
        <f t="shared" si="1"/>
        <v>64003.405986157624</v>
      </c>
      <c r="AB24" s="80" t="s">
        <v>96</v>
      </c>
      <c r="AC24" s="84">
        <f>AC19/AC10*100</f>
        <v>46.648103545950462</v>
      </c>
    </row>
    <row r="25" spans="1:30" ht="16">
      <c r="A25" s="319"/>
      <c r="B25" s="110" t="s">
        <v>160</v>
      </c>
      <c r="C25" s="198">
        <f>SUM(C9:C24)/100</f>
        <v>9.612834244350001</v>
      </c>
      <c r="D25" s="198">
        <f t="shared" ref="D25:N25" si="7">SUM(D9:D24)/100</f>
        <v>10.2372</v>
      </c>
      <c r="E25" s="198">
        <f t="shared" si="7"/>
        <v>169.06012287039997</v>
      </c>
      <c r="F25" s="198">
        <f t="shared" si="7"/>
        <v>235.6146147904</v>
      </c>
      <c r="G25" s="198">
        <f t="shared" si="7"/>
        <v>2467.5534756959996</v>
      </c>
      <c r="H25" s="198">
        <f t="shared" si="7"/>
        <v>1473.7206618463438</v>
      </c>
      <c r="I25" s="198">
        <f t="shared" si="7"/>
        <v>1547.1524719943593</v>
      </c>
      <c r="J25" s="198">
        <f t="shared" si="7"/>
        <v>1085.4927107712545</v>
      </c>
      <c r="K25" s="198">
        <f t="shared" si="7"/>
        <v>1567.9297835236512</v>
      </c>
      <c r="L25" s="198">
        <f t="shared" si="7"/>
        <v>1004.7167480745669</v>
      </c>
      <c r="M25" s="198">
        <f t="shared" si="7"/>
        <v>1557.008969639834</v>
      </c>
      <c r="N25" s="198">
        <f t="shared" si="7"/>
        <v>1560.6603065171648</v>
      </c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0"/>
      <c r="Z25" s="219">
        <f t="shared" si="1"/>
        <v>12688.759899968321</v>
      </c>
      <c r="AB25" s="80" t="s">
        <v>97</v>
      </c>
      <c r="AC25" s="84">
        <f>AC11/SUM(Z86:Z91)*100</f>
        <v>840.13203391910099</v>
      </c>
      <c r="AD25" s="80" t="s">
        <v>98</v>
      </c>
    </row>
    <row r="26" spans="1:30" ht="16">
      <c r="A26" s="319"/>
      <c r="B26" s="110" t="s">
        <v>189</v>
      </c>
      <c r="C26" s="202"/>
      <c r="D26" s="202"/>
      <c r="E26" s="198">
        <f>(E55-SUM(E9:E25))/100*20</f>
        <v>184.98551801792053</v>
      </c>
      <c r="F26" s="198">
        <f>(F55-SUM(F9:F25))/100*20</f>
        <v>640.58478123391978</v>
      </c>
      <c r="G26" s="198"/>
      <c r="H26" s="198">
        <f t="shared" ref="H26:N26" si="8">(H55-SUM(H9:H25))/100*20</f>
        <v>24230.842630703861</v>
      </c>
      <c r="I26" s="198">
        <f t="shared" si="8"/>
        <v>4747.5200657139412</v>
      </c>
      <c r="J26" s="198">
        <f t="shared" si="8"/>
        <v>32073.04724242066</v>
      </c>
      <c r="K26" s="198">
        <f t="shared" si="8"/>
        <v>327.81837282224444</v>
      </c>
      <c r="L26" s="198">
        <f t="shared" si="8"/>
        <v>27704.721688893751</v>
      </c>
      <c r="M26" s="198">
        <f t="shared" si="8"/>
        <v>548.41881327535373</v>
      </c>
      <c r="N26" s="198">
        <f t="shared" si="8"/>
        <v>16474.661808353274</v>
      </c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0"/>
      <c r="Z26" s="219">
        <f t="shared" si="1"/>
        <v>106932.60092143493</v>
      </c>
      <c r="AB26" s="80" t="s">
        <v>99</v>
      </c>
      <c r="AC26" s="84">
        <f>AC19/SUM(Z86:Z91)*100</f>
        <v>667.46132590106447</v>
      </c>
      <c r="AD26" s="80" t="s">
        <v>98</v>
      </c>
    </row>
    <row r="27" spans="1:30">
      <c r="A27" s="319"/>
      <c r="B27" s="110" t="s">
        <v>163</v>
      </c>
      <c r="C27" s="202">
        <f>SUM(C9:C26)</f>
        <v>970.89625867935001</v>
      </c>
      <c r="D27" s="202">
        <f t="shared" ref="D27:N27" si="9">SUM(D9:D26)</f>
        <v>1033.9572000000001</v>
      </c>
      <c r="E27" s="202">
        <f t="shared" si="9"/>
        <v>17260.057927928319</v>
      </c>
      <c r="F27" s="202">
        <f t="shared" si="9"/>
        <v>24437.660875064321</v>
      </c>
      <c r="G27" s="202">
        <f t="shared" si="9"/>
        <v>249222.90104529599</v>
      </c>
      <c r="H27" s="202">
        <f t="shared" si="9"/>
        <v>173076.62947718456</v>
      </c>
      <c r="I27" s="202">
        <f t="shared" si="9"/>
        <v>161009.91973714423</v>
      </c>
      <c r="J27" s="202">
        <f t="shared" si="9"/>
        <v>141707.81103031736</v>
      </c>
      <c r="K27" s="202">
        <f t="shared" si="9"/>
        <v>158688.72650871103</v>
      </c>
      <c r="L27" s="202">
        <f t="shared" si="9"/>
        <v>129181.11324442501</v>
      </c>
      <c r="M27" s="202">
        <f t="shared" si="9"/>
        <v>157806.32474689858</v>
      </c>
      <c r="N27" s="202">
        <f t="shared" si="9"/>
        <v>174101.3527665869</v>
      </c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0"/>
      <c r="Z27" s="219">
        <f t="shared" si="1"/>
        <v>1388497.3508182357</v>
      </c>
      <c r="AC27" s="84"/>
    </row>
    <row r="28" spans="1:30">
      <c r="A28" s="319"/>
      <c r="B28" s="110" t="s">
        <v>177</v>
      </c>
      <c r="C28" s="202">
        <f>C55-SUM(C9:C25)</f>
        <v>-970.89625867935001</v>
      </c>
      <c r="D28" s="202">
        <f t="shared" ref="D28:N28" si="10">D55-SUM(D9:D25)</f>
        <v>-1033.9572000000001</v>
      </c>
      <c r="E28" s="202">
        <f t="shared" si="10"/>
        <v>924.92759008960275</v>
      </c>
      <c r="F28" s="202">
        <f t="shared" si="10"/>
        <v>3202.9239061695989</v>
      </c>
      <c r="G28" s="202">
        <f t="shared" si="10"/>
        <v>-69222.901045295992</v>
      </c>
      <c r="H28" s="202">
        <f t="shared" si="10"/>
        <v>121154.21315351929</v>
      </c>
      <c r="I28" s="202">
        <f t="shared" si="10"/>
        <v>23737.600328569708</v>
      </c>
      <c r="J28" s="202">
        <f t="shared" si="10"/>
        <v>160365.23621210331</v>
      </c>
      <c r="K28" s="202">
        <f t="shared" si="10"/>
        <v>1639.0918641112221</v>
      </c>
      <c r="L28" s="202">
        <f t="shared" si="10"/>
        <v>138523.60844446876</v>
      </c>
      <c r="M28" s="202">
        <f t="shared" si="10"/>
        <v>2742.0940663767688</v>
      </c>
      <c r="N28" s="202">
        <f t="shared" si="10"/>
        <v>82373.309041766362</v>
      </c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0"/>
      <c r="Z28" s="219">
        <f t="shared" si="1"/>
        <v>463435.25010319927</v>
      </c>
      <c r="AC28" s="84"/>
    </row>
    <row r="29" spans="1:30">
      <c r="A29" s="319"/>
      <c r="B29" s="112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0"/>
      <c r="Z29" s="219"/>
      <c r="AC29" s="84"/>
    </row>
    <row r="30" spans="1:30">
      <c r="A30" s="319"/>
      <c r="B30" s="108" t="s">
        <v>165</v>
      </c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0"/>
      <c r="Z30" s="219"/>
      <c r="AC30" s="84"/>
    </row>
    <row r="31" spans="1:30">
      <c r="A31" s="319"/>
      <c r="B31" s="107" t="s">
        <v>143</v>
      </c>
      <c r="C31" s="203">
        <f>SUM(КПуслуга!B21:D21)/1000</f>
        <v>330</v>
      </c>
      <c r="D31" s="203">
        <f>SUM(КПуслуга!E21:G21)/1000</f>
        <v>330</v>
      </c>
      <c r="E31" s="203">
        <f>SUM(КПуслуга!H21:J21)/1000</f>
        <v>930</v>
      </c>
      <c r="F31" s="203">
        <f>SUM(КПуслуга!K21:M21)/1000</f>
        <v>930</v>
      </c>
      <c r="G31" s="203">
        <f>SUM(КПуслуга!B41:D41)/1000</f>
        <v>1620</v>
      </c>
      <c r="H31" s="203">
        <f>SUM(КПуслуга!E41:G41)/1000</f>
        <v>1620</v>
      </c>
      <c r="I31" s="203">
        <f>SUM(КПуслуга!H41:J41)/1000</f>
        <v>1620</v>
      </c>
      <c r="J31" s="203">
        <f>SUM(КПуслуга!K41:M41)/1000</f>
        <v>1620</v>
      </c>
      <c r="K31" s="203">
        <f>SUM(КПуслуга!B61:D61)/1000</f>
        <v>1980</v>
      </c>
      <c r="L31" s="203">
        <f>SUM(КПуслуга!E61:G61)/1000</f>
        <v>1980</v>
      </c>
      <c r="M31" s="203">
        <f>SUM(КПуслуга!H61:J61)/1000</f>
        <v>1980</v>
      </c>
      <c r="N31" s="203">
        <f>SUM(КПуслуга!K61:M61)/1000</f>
        <v>1980</v>
      </c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0"/>
      <c r="Z31" s="219">
        <f t="shared" ref="Z31:Z49" si="11">SUM(C31:X31)</f>
        <v>16920</v>
      </c>
      <c r="AC31" s="84"/>
    </row>
    <row r="32" spans="1:30">
      <c r="A32" s="319"/>
      <c r="B32" s="107" t="s">
        <v>150</v>
      </c>
      <c r="C32" s="204">
        <f>C31/100*30.2</f>
        <v>99.66</v>
      </c>
      <c r="D32" s="204">
        <f t="shared" ref="D32:N32" si="12">D31/100*30.2</f>
        <v>99.66</v>
      </c>
      <c r="E32" s="204">
        <f t="shared" si="12"/>
        <v>280.86</v>
      </c>
      <c r="F32" s="204">
        <f t="shared" si="12"/>
        <v>280.86</v>
      </c>
      <c r="G32" s="204">
        <f t="shared" si="12"/>
        <v>489.23999999999995</v>
      </c>
      <c r="H32" s="204">
        <f t="shared" si="12"/>
        <v>489.23999999999995</v>
      </c>
      <c r="I32" s="204">
        <f t="shared" si="12"/>
        <v>489.23999999999995</v>
      </c>
      <c r="J32" s="204">
        <f t="shared" si="12"/>
        <v>489.23999999999995</v>
      </c>
      <c r="K32" s="204">
        <f t="shared" si="12"/>
        <v>597.96</v>
      </c>
      <c r="L32" s="204">
        <f t="shared" si="12"/>
        <v>597.96</v>
      </c>
      <c r="M32" s="204">
        <f t="shared" si="12"/>
        <v>597.96</v>
      </c>
      <c r="N32" s="204">
        <f t="shared" si="12"/>
        <v>597.96</v>
      </c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0"/>
      <c r="Z32" s="219">
        <f t="shared" si="11"/>
        <v>5109.8399999999992</v>
      </c>
      <c r="AC32" s="84"/>
    </row>
    <row r="33" spans="1:29">
      <c r="A33" s="319"/>
      <c r="B33" s="107" t="s">
        <v>166</v>
      </c>
      <c r="C33" s="204"/>
      <c r="D33" s="204"/>
      <c r="E33" s="204">
        <v>450</v>
      </c>
      <c r="F33" s="204"/>
      <c r="G33" s="204">
        <v>450</v>
      </c>
      <c r="H33" s="204">
        <v>450</v>
      </c>
      <c r="I33" s="204">
        <v>450</v>
      </c>
      <c r="J33" s="204">
        <v>450</v>
      </c>
      <c r="K33" s="204">
        <v>450</v>
      </c>
      <c r="L33" s="204">
        <v>450</v>
      </c>
      <c r="M33" s="204">
        <v>450</v>
      </c>
      <c r="N33" s="204">
        <v>450</v>
      </c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0"/>
      <c r="Z33" s="219">
        <f t="shared" si="11"/>
        <v>4050</v>
      </c>
      <c r="AC33" s="84"/>
    </row>
    <row r="34" spans="1:29">
      <c r="A34" s="319"/>
      <c r="B34" s="107" t="s">
        <v>158</v>
      </c>
      <c r="C34" s="204">
        <v>960</v>
      </c>
      <c r="D34" s="204">
        <v>0</v>
      </c>
      <c r="E34" s="204">
        <v>320</v>
      </c>
      <c r="F34" s="204"/>
      <c r="G34" s="204">
        <v>200</v>
      </c>
      <c r="H34" s="204"/>
      <c r="I34" s="204"/>
      <c r="J34" s="204"/>
      <c r="K34" s="204"/>
      <c r="L34" s="204"/>
      <c r="M34" s="204"/>
      <c r="N34" s="204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0"/>
      <c r="Z34" s="219">
        <f t="shared" si="11"/>
        <v>1480</v>
      </c>
      <c r="AC34" s="84"/>
    </row>
    <row r="35" spans="1:29">
      <c r="A35" s="319"/>
      <c r="B35" s="107" t="s">
        <v>167</v>
      </c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0"/>
      <c r="Z35" s="219">
        <f t="shared" si="11"/>
        <v>0</v>
      </c>
      <c r="AC35" s="84"/>
    </row>
    <row r="36" spans="1:29">
      <c r="A36" s="319"/>
      <c r="B36" s="107" t="s">
        <v>152</v>
      </c>
      <c r="C36" s="204">
        <v>36</v>
      </c>
      <c r="D36" s="204">
        <v>36</v>
      </c>
      <c r="E36" s="204">
        <v>36</v>
      </c>
      <c r="F36" s="204">
        <v>36</v>
      </c>
      <c r="G36" s="204">
        <v>36</v>
      </c>
      <c r="H36" s="204">
        <v>36</v>
      </c>
      <c r="I36" s="204">
        <v>36</v>
      </c>
      <c r="J36" s="204">
        <v>36</v>
      </c>
      <c r="K36" s="204">
        <v>36</v>
      </c>
      <c r="L36" s="204">
        <v>36</v>
      </c>
      <c r="M36" s="204">
        <v>36</v>
      </c>
      <c r="N36" s="204">
        <v>36</v>
      </c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0"/>
      <c r="Z36" s="219">
        <f t="shared" si="11"/>
        <v>432</v>
      </c>
      <c r="AC36" s="84"/>
    </row>
    <row r="37" spans="1:29">
      <c r="A37" s="319"/>
      <c r="B37" s="107" t="s">
        <v>153</v>
      </c>
      <c r="C37" s="203"/>
      <c r="D37" s="203"/>
      <c r="E37" s="203"/>
      <c r="F37" s="203"/>
      <c r="G37" s="204">
        <f>G36/10</f>
        <v>3.6</v>
      </c>
      <c r="H37" s="204">
        <f t="shared" ref="H37:N37" si="13">H36/10</f>
        <v>3.6</v>
      </c>
      <c r="I37" s="204">
        <f t="shared" si="13"/>
        <v>3.6</v>
      </c>
      <c r="J37" s="204">
        <f t="shared" si="13"/>
        <v>3.6</v>
      </c>
      <c r="K37" s="204">
        <f t="shared" si="13"/>
        <v>3.6</v>
      </c>
      <c r="L37" s="204">
        <f t="shared" si="13"/>
        <v>3.6</v>
      </c>
      <c r="M37" s="204">
        <f t="shared" si="13"/>
        <v>3.6</v>
      </c>
      <c r="N37" s="204">
        <f t="shared" si="13"/>
        <v>3.6</v>
      </c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0"/>
      <c r="Z37" s="219">
        <f t="shared" si="11"/>
        <v>28.800000000000004</v>
      </c>
      <c r="AC37" s="84"/>
    </row>
    <row r="38" spans="1:29">
      <c r="A38" s="319"/>
      <c r="B38" s="107" t="s">
        <v>154</v>
      </c>
      <c r="C38" s="203"/>
      <c r="D38" s="203"/>
      <c r="E38" s="203"/>
      <c r="F38" s="203"/>
      <c r="G38" s="204">
        <v>30</v>
      </c>
      <c r="H38" s="204">
        <v>30</v>
      </c>
      <c r="I38" s="204">
        <v>30</v>
      </c>
      <c r="J38" s="204">
        <v>30</v>
      </c>
      <c r="K38" s="204">
        <v>30</v>
      </c>
      <c r="L38" s="204">
        <v>30</v>
      </c>
      <c r="M38" s="204">
        <v>30</v>
      </c>
      <c r="N38" s="204">
        <v>30</v>
      </c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0"/>
      <c r="Z38" s="219">
        <f t="shared" si="11"/>
        <v>240</v>
      </c>
      <c r="AC38" s="84"/>
    </row>
    <row r="39" spans="1:29">
      <c r="A39" s="319"/>
      <c r="B39" s="107" t="s">
        <v>145</v>
      </c>
      <c r="C39" s="204">
        <v>5</v>
      </c>
      <c r="D39" s="204">
        <v>5</v>
      </c>
      <c r="E39" s="204">
        <v>5</v>
      </c>
      <c r="F39" s="204">
        <v>5</v>
      </c>
      <c r="G39" s="204">
        <v>15</v>
      </c>
      <c r="H39" s="204">
        <v>15</v>
      </c>
      <c r="I39" s="204">
        <v>15</v>
      </c>
      <c r="J39" s="204">
        <v>15</v>
      </c>
      <c r="K39" s="204">
        <v>15</v>
      </c>
      <c r="L39" s="204">
        <v>15</v>
      </c>
      <c r="M39" s="204">
        <v>15</v>
      </c>
      <c r="N39" s="204">
        <v>15</v>
      </c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0"/>
      <c r="Z39" s="219">
        <f t="shared" si="11"/>
        <v>140</v>
      </c>
      <c r="AC39" s="84"/>
    </row>
    <row r="40" spans="1:29">
      <c r="A40" s="319"/>
      <c r="B40" s="107" t="s">
        <v>146</v>
      </c>
      <c r="C40" s="204">
        <v>6</v>
      </c>
      <c r="D40" s="204">
        <v>6</v>
      </c>
      <c r="E40" s="204">
        <v>6</v>
      </c>
      <c r="F40" s="204">
        <v>6</v>
      </c>
      <c r="G40" s="204">
        <v>10</v>
      </c>
      <c r="H40" s="204">
        <v>10</v>
      </c>
      <c r="I40" s="204">
        <v>10</v>
      </c>
      <c r="J40" s="204">
        <v>10</v>
      </c>
      <c r="K40" s="204">
        <v>10</v>
      </c>
      <c r="L40" s="204">
        <v>10</v>
      </c>
      <c r="M40" s="204">
        <v>10</v>
      </c>
      <c r="N40" s="204">
        <v>10</v>
      </c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0"/>
      <c r="Z40" s="219">
        <f t="shared" si="11"/>
        <v>104</v>
      </c>
      <c r="AC40" s="84"/>
    </row>
    <row r="41" spans="1:29">
      <c r="A41" s="319"/>
      <c r="B41" s="107" t="s">
        <v>155</v>
      </c>
      <c r="C41" s="204"/>
      <c r="D41" s="204"/>
      <c r="E41" s="204">
        <v>300</v>
      </c>
      <c r="F41" s="204">
        <v>300</v>
      </c>
      <c r="G41" s="204">
        <v>300</v>
      </c>
      <c r="H41" s="204">
        <v>300</v>
      </c>
      <c r="I41" s="204">
        <v>300</v>
      </c>
      <c r="J41" s="204">
        <v>300</v>
      </c>
      <c r="K41" s="204">
        <v>300</v>
      </c>
      <c r="L41" s="204">
        <v>300</v>
      </c>
      <c r="M41" s="204">
        <v>300</v>
      </c>
      <c r="N41" s="204">
        <v>300</v>
      </c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0"/>
      <c r="Z41" s="219">
        <f t="shared" si="11"/>
        <v>3000</v>
      </c>
      <c r="AC41" s="84"/>
    </row>
    <row r="42" spans="1:29">
      <c r="A42" s="319"/>
      <c r="B42" s="107" t="s">
        <v>147</v>
      </c>
      <c r="C42" s="204"/>
      <c r="D42" s="204"/>
      <c r="E42" s="204">
        <v>60</v>
      </c>
      <c r="F42" s="204">
        <v>60</v>
      </c>
      <c r="G42" s="204">
        <v>60</v>
      </c>
      <c r="H42" s="204">
        <v>60</v>
      </c>
      <c r="I42" s="204">
        <v>60</v>
      </c>
      <c r="J42" s="204">
        <v>60</v>
      </c>
      <c r="K42" s="204">
        <v>60</v>
      </c>
      <c r="L42" s="204">
        <v>60</v>
      </c>
      <c r="M42" s="204">
        <v>60</v>
      </c>
      <c r="N42" s="204">
        <v>60</v>
      </c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0"/>
      <c r="Z42" s="219">
        <f t="shared" si="11"/>
        <v>600</v>
      </c>
      <c r="AC42" s="84"/>
    </row>
    <row r="43" spans="1:29">
      <c r="A43" s="319"/>
      <c r="B43" s="107" t="s">
        <v>169</v>
      </c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0"/>
      <c r="Z43" s="219">
        <f t="shared" si="11"/>
        <v>0</v>
      </c>
      <c r="AC43" s="84"/>
    </row>
    <row r="44" spans="1:29">
      <c r="A44" s="319"/>
      <c r="B44" s="107" t="s">
        <v>156</v>
      </c>
      <c r="C44" s="204"/>
      <c r="D44" s="204"/>
      <c r="E44" s="204">
        <v>10</v>
      </c>
      <c r="F44" s="204">
        <v>10</v>
      </c>
      <c r="G44" s="204">
        <v>20</v>
      </c>
      <c r="H44" s="204">
        <v>20</v>
      </c>
      <c r="I44" s="204">
        <v>20</v>
      </c>
      <c r="J44" s="204">
        <v>20</v>
      </c>
      <c r="K44" s="204">
        <v>20</v>
      </c>
      <c r="L44" s="204">
        <v>20</v>
      </c>
      <c r="M44" s="204">
        <v>20</v>
      </c>
      <c r="N44" s="204">
        <v>20</v>
      </c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0"/>
      <c r="Z44" s="219">
        <f t="shared" si="11"/>
        <v>180</v>
      </c>
      <c r="AC44" s="84"/>
    </row>
    <row r="45" spans="1:29">
      <c r="A45" s="319"/>
      <c r="B45" s="107" t="s">
        <v>157</v>
      </c>
      <c r="C45" s="204"/>
      <c r="D45" s="204"/>
      <c r="E45" s="204">
        <v>100</v>
      </c>
      <c r="F45" s="204">
        <f>F56/100*5</f>
        <v>240</v>
      </c>
      <c r="G45" s="204">
        <f t="shared" ref="G45:N45" si="14">G56/100*15</f>
        <v>4860</v>
      </c>
      <c r="H45" s="204">
        <f t="shared" si="14"/>
        <v>4860</v>
      </c>
      <c r="I45" s="204">
        <f t="shared" si="14"/>
        <v>4860</v>
      </c>
      <c r="J45" s="204">
        <f t="shared" si="14"/>
        <v>4860</v>
      </c>
      <c r="K45" s="204">
        <f t="shared" si="14"/>
        <v>11988</v>
      </c>
      <c r="L45" s="204">
        <f t="shared" si="14"/>
        <v>11988</v>
      </c>
      <c r="M45" s="204">
        <f t="shared" si="14"/>
        <v>11988</v>
      </c>
      <c r="N45" s="204">
        <f t="shared" si="14"/>
        <v>11988</v>
      </c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0"/>
      <c r="Z45" s="219">
        <f t="shared" si="11"/>
        <v>67732</v>
      </c>
      <c r="AC45" s="84"/>
    </row>
    <row r="46" spans="1:29">
      <c r="A46" s="319"/>
      <c r="B46" s="107" t="s">
        <v>160</v>
      </c>
      <c r="C46" s="204">
        <f>SUM(C31:C45)/100</f>
        <v>14.366599999999998</v>
      </c>
      <c r="D46" s="204">
        <f t="shared" ref="D46:N46" si="15">SUM(D31:D45)/100</f>
        <v>4.7665999999999995</v>
      </c>
      <c r="E46" s="204">
        <f t="shared" si="15"/>
        <v>24.9786</v>
      </c>
      <c r="F46" s="204">
        <f t="shared" si="15"/>
        <v>18.678600000000003</v>
      </c>
      <c r="G46" s="204">
        <f t="shared" si="15"/>
        <v>80.938400000000001</v>
      </c>
      <c r="H46" s="204">
        <f t="shared" si="15"/>
        <v>78.938400000000001</v>
      </c>
      <c r="I46" s="204">
        <f t="shared" si="15"/>
        <v>78.938400000000001</v>
      </c>
      <c r="J46" s="204">
        <f t="shared" si="15"/>
        <v>78.938400000000001</v>
      </c>
      <c r="K46" s="204">
        <f t="shared" si="15"/>
        <v>154.90559999999999</v>
      </c>
      <c r="L46" s="204">
        <f t="shared" si="15"/>
        <v>154.90559999999999</v>
      </c>
      <c r="M46" s="204">
        <f t="shared" si="15"/>
        <v>154.90559999999999</v>
      </c>
      <c r="N46" s="204">
        <f t="shared" si="15"/>
        <v>154.90559999999999</v>
      </c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0"/>
      <c r="Z46" s="219">
        <f t="shared" si="11"/>
        <v>1000.1664000000001</v>
      </c>
      <c r="AC46" s="84"/>
    </row>
    <row r="47" spans="1:29">
      <c r="A47" s="319"/>
      <c r="B47" s="107" t="s">
        <v>188</v>
      </c>
      <c r="C47" s="204"/>
      <c r="D47" s="204"/>
      <c r="E47" s="204"/>
      <c r="F47" s="204">
        <f>(F56-SUM(F31:F46))/100*14</f>
        <v>407.88459600000004</v>
      </c>
      <c r="G47" s="204">
        <f t="shared" ref="G47:N47" si="16">(G56-SUM(G31:G46))/100*14</f>
        <v>3391.5310239999999</v>
      </c>
      <c r="H47" s="204">
        <f t="shared" si="16"/>
        <v>3419.8110240000001</v>
      </c>
      <c r="I47" s="204">
        <f t="shared" si="16"/>
        <v>3419.8110240000001</v>
      </c>
      <c r="J47" s="204">
        <f t="shared" si="16"/>
        <v>3419.8110240000001</v>
      </c>
      <c r="K47" s="204">
        <f t="shared" si="16"/>
        <v>8998.4348160000009</v>
      </c>
      <c r="L47" s="204">
        <f t="shared" si="16"/>
        <v>8998.4348160000009</v>
      </c>
      <c r="M47" s="204">
        <f t="shared" si="16"/>
        <v>8998.4348160000009</v>
      </c>
      <c r="N47" s="204">
        <f t="shared" si="16"/>
        <v>8998.4348160000009</v>
      </c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0"/>
      <c r="Z47" s="219">
        <f t="shared" si="11"/>
        <v>50052.587956000003</v>
      </c>
      <c r="AC47" s="84"/>
    </row>
    <row r="48" spans="1:29">
      <c r="A48" s="319"/>
      <c r="B48" s="107" t="s">
        <v>168</v>
      </c>
      <c r="C48" s="203">
        <f>SUM(C31:C47)</f>
        <v>1451.0265999999999</v>
      </c>
      <c r="D48" s="203">
        <f t="shared" ref="D48:N48" si="17">SUM(D31:D47)</f>
        <v>481.42659999999995</v>
      </c>
      <c r="E48" s="203">
        <f t="shared" si="17"/>
        <v>2522.8386</v>
      </c>
      <c r="F48" s="203">
        <f t="shared" si="17"/>
        <v>2294.4231960000002</v>
      </c>
      <c r="G48" s="203">
        <f t="shared" si="17"/>
        <v>11566.309423999999</v>
      </c>
      <c r="H48" s="203">
        <f t="shared" si="17"/>
        <v>11392.589424</v>
      </c>
      <c r="I48" s="203">
        <f t="shared" si="17"/>
        <v>11392.589424</v>
      </c>
      <c r="J48" s="203">
        <f t="shared" si="17"/>
        <v>11392.589424</v>
      </c>
      <c r="K48" s="203">
        <f t="shared" si="17"/>
        <v>24643.900416</v>
      </c>
      <c r="L48" s="203">
        <f t="shared" si="17"/>
        <v>24643.900416</v>
      </c>
      <c r="M48" s="203">
        <f t="shared" si="17"/>
        <v>24643.900416</v>
      </c>
      <c r="N48" s="203">
        <f t="shared" si="17"/>
        <v>24643.900416</v>
      </c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0"/>
      <c r="Z48" s="219">
        <f t="shared" si="11"/>
        <v>151069.394356</v>
      </c>
      <c r="AC48" s="84"/>
    </row>
    <row r="49" spans="1:30">
      <c r="A49" s="319"/>
      <c r="B49" s="107" t="s">
        <v>187</v>
      </c>
      <c r="C49" s="203">
        <f>C56-SUM(C31:C46)</f>
        <v>-1451.0265999999999</v>
      </c>
      <c r="D49" s="203">
        <f t="shared" ref="D49:N49" si="18">D56-SUM(D31:D46)</f>
        <v>-481.42659999999995</v>
      </c>
      <c r="E49" s="203">
        <f t="shared" si="18"/>
        <v>-1322.8386</v>
      </c>
      <c r="F49" s="203">
        <f t="shared" si="18"/>
        <v>2913.4614000000001</v>
      </c>
      <c r="G49" s="203">
        <f t="shared" si="18"/>
        <v>24225.221600000001</v>
      </c>
      <c r="H49" s="203">
        <f t="shared" si="18"/>
        <v>24427.221600000001</v>
      </c>
      <c r="I49" s="203">
        <f t="shared" si="18"/>
        <v>24427.221600000001</v>
      </c>
      <c r="J49" s="203">
        <f t="shared" si="18"/>
        <v>24427.221600000001</v>
      </c>
      <c r="K49" s="203">
        <f t="shared" si="18"/>
        <v>64274.534400000004</v>
      </c>
      <c r="L49" s="203">
        <f t="shared" si="18"/>
        <v>64274.534400000004</v>
      </c>
      <c r="M49" s="203">
        <f t="shared" si="18"/>
        <v>64274.534400000004</v>
      </c>
      <c r="N49" s="203">
        <f t="shared" si="18"/>
        <v>64274.534400000004</v>
      </c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0"/>
      <c r="Z49" s="219">
        <f t="shared" si="11"/>
        <v>354263.1936</v>
      </c>
      <c r="AC49" s="84"/>
    </row>
    <row r="50" spans="1:30">
      <c r="A50" s="319"/>
      <c r="B50" s="112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0"/>
      <c r="Z50" s="219"/>
      <c r="AC50" s="84"/>
    </row>
    <row r="51" spans="1:30">
      <c r="A51" s="319"/>
      <c r="B51" s="83" t="s">
        <v>251</v>
      </c>
      <c r="C51" s="201"/>
      <c r="D51" s="201"/>
      <c r="E51" s="201"/>
      <c r="F51" s="201"/>
      <c r="G51" s="199">
        <v>1.1000000000000001</v>
      </c>
      <c r="H51" s="199">
        <v>1.1000000000000001</v>
      </c>
      <c r="I51" s="199">
        <v>1.1000000000000001</v>
      </c>
      <c r="J51" s="199">
        <v>1.1000000000000001</v>
      </c>
      <c r="K51" s="199">
        <v>1.1000000000000001</v>
      </c>
      <c r="L51" s="199">
        <v>1.1000000000000001</v>
      </c>
      <c r="M51" s="199">
        <v>1.1000000000000001</v>
      </c>
      <c r="N51" s="199">
        <v>1.1000000000000001</v>
      </c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0"/>
      <c r="Z51" s="219"/>
      <c r="AC51" s="84"/>
    </row>
    <row r="52" spans="1:30" ht="16">
      <c r="A52" s="319"/>
      <c r="B52" s="121" t="s">
        <v>207</v>
      </c>
      <c r="C52" s="205">
        <f>C27+C48</f>
        <v>2421.9228586793497</v>
      </c>
      <c r="D52" s="205">
        <f t="shared" ref="D52:F52" si="19">D27+D48</f>
        <v>1515.3838000000001</v>
      </c>
      <c r="E52" s="205">
        <f t="shared" si="19"/>
        <v>19782.896527928318</v>
      </c>
      <c r="F52" s="205">
        <f t="shared" si="19"/>
        <v>26732.084071064321</v>
      </c>
      <c r="G52" s="205">
        <f>(G27+G48)*G51</f>
        <v>286868.13151622564</v>
      </c>
      <c r="H52" s="205">
        <f t="shared" ref="H52:N52" si="20">(H27+H48)*H51</f>
        <v>202916.14079130304</v>
      </c>
      <c r="I52" s="205">
        <f t="shared" si="20"/>
        <v>189642.76007725866</v>
      </c>
      <c r="J52" s="205">
        <f t="shared" si="20"/>
        <v>168410.44049974912</v>
      </c>
      <c r="K52" s="205">
        <f t="shared" si="20"/>
        <v>201665.88961718214</v>
      </c>
      <c r="L52" s="205">
        <f t="shared" si="20"/>
        <v>169207.5150264675</v>
      </c>
      <c r="M52" s="205">
        <f t="shared" si="20"/>
        <v>200695.24767918844</v>
      </c>
      <c r="N52" s="205">
        <f t="shared" si="20"/>
        <v>218619.7785008456</v>
      </c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0"/>
      <c r="Z52" s="219"/>
      <c r="AB52" s="80" t="s">
        <v>101</v>
      </c>
      <c r="AC52" s="80">
        <f>AC54*(1+AC82)*AC58</f>
        <v>632037597.2052623</v>
      </c>
      <c r="AD52" s="80" t="s">
        <v>102</v>
      </c>
    </row>
    <row r="53" spans="1:30">
      <c r="A53" s="319"/>
      <c r="B53" s="112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0"/>
      <c r="Z53" s="219"/>
    </row>
    <row r="54" spans="1:30" ht="16">
      <c r="A54" s="319"/>
      <c r="B54" s="195" t="s">
        <v>100</v>
      </c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0"/>
      <c r="Z54" s="219"/>
      <c r="AB54" s="80" t="s">
        <v>103</v>
      </c>
      <c r="AC54" s="84">
        <f>SUM(Z86:Z91)*1000</f>
        <v>96887000</v>
      </c>
      <c r="AD54" s="80" t="s">
        <v>104</v>
      </c>
    </row>
    <row r="55" spans="1:30" ht="16">
      <c r="A55" s="319"/>
      <c r="B55" s="110" t="s">
        <v>186</v>
      </c>
      <c r="C55" s="198">
        <f>SUM('План производства'!B12:D12)/1000</f>
        <v>0</v>
      </c>
      <c r="D55" s="198">
        <f>SUM('План производства'!E12:G12)/1000</f>
        <v>0</v>
      </c>
      <c r="E55" s="198">
        <f>SUM('План производства'!H12:J12)/1000</f>
        <v>18000</v>
      </c>
      <c r="F55" s="198">
        <f>SUM('План производства'!K12:M12)/1000</f>
        <v>27000</v>
      </c>
      <c r="G55" s="198">
        <f>SUM('План производства'!B24:D24)/1000</f>
        <v>180000</v>
      </c>
      <c r="H55" s="198">
        <f>SUM('План производства'!E24:G24)/1000</f>
        <v>270000</v>
      </c>
      <c r="I55" s="198">
        <f>SUM('План производства'!H24:J24)/1000</f>
        <v>180000</v>
      </c>
      <c r="J55" s="198">
        <f>SUM('План производства'!K24:M24)/1000</f>
        <v>270000</v>
      </c>
      <c r="K55" s="198">
        <f>SUM('План производства'!B36:D36)/1000</f>
        <v>160000</v>
      </c>
      <c r="L55" s="198">
        <f>SUM('План производства'!E36:G36)/1000</f>
        <v>240000</v>
      </c>
      <c r="M55" s="198">
        <f>SUM('План производства'!H36:J36)/1000</f>
        <v>160000</v>
      </c>
      <c r="N55" s="198">
        <f>SUM('План производства'!K36:M36)/1000</f>
        <v>240000</v>
      </c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0"/>
      <c r="Z55" s="219">
        <f t="shared" ref="Z55:Z91" si="21">SUM(C55:Y55)</f>
        <v>1745000</v>
      </c>
      <c r="AB55" s="80" t="s">
        <v>105</v>
      </c>
      <c r="AC55" s="80">
        <v>1.28</v>
      </c>
      <c r="AD55" s="80" t="s">
        <v>250</v>
      </c>
    </row>
    <row r="56" spans="1:30">
      <c r="A56" s="319"/>
      <c r="B56" s="107" t="s">
        <v>185</v>
      </c>
      <c r="C56" s="204"/>
      <c r="D56" s="204"/>
      <c r="E56" s="204">
        <f>'Total услуга'!D5/100*20/1000</f>
        <v>1200</v>
      </c>
      <c r="F56" s="204">
        <f>'Total услуга'!D5/100*80/1000</f>
        <v>4800</v>
      </c>
      <c r="G56" s="204">
        <f>'Total услуга'!E5/4/1000</f>
        <v>32400</v>
      </c>
      <c r="H56" s="204">
        <f>'Total услуга'!E5/4/1000</f>
        <v>32400</v>
      </c>
      <c r="I56" s="204">
        <f>'Total услуга'!E5/4/1000</f>
        <v>32400</v>
      </c>
      <c r="J56" s="204">
        <f>'Total услуга'!E5/4/1000</f>
        <v>32400</v>
      </c>
      <c r="K56" s="204">
        <f>'Total услуга'!F5/4/1000</f>
        <v>79920</v>
      </c>
      <c r="L56" s="204">
        <f>'Total услуга'!F5/4/1000</f>
        <v>79920</v>
      </c>
      <c r="M56" s="204">
        <f>'Total услуга'!F5/4/1000</f>
        <v>79920</v>
      </c>
      <c r="N56" s="204">
        <f>'Total услуга'!F5/4/1000</f>
        <v>79920</v>
      </c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0"/>
      <c r="Z56" s="219">
        <f t="shared" si="21"/>
        <v>455280</v>
      </c>
    </row>
    <row r="57" spans="1:30">
      <c r="A57" s="319"/>
      <c r="B57" s="112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0"/>
      <c r="Z57" s="219"/>
    </row>
    <row r="58" spans="1:30" ht="17" thickBot="1">
      <c r="A58" s="324"/>
      <c r="B58" s="133" t="s">
        <v>190</v>
      </c>
      <c r="C58" s="206">
        <f t="shared" ref="C58:N58" si="22">SUM(C55:C56)</f>
        <v>0</v>
      </c>
      <c r="D58" s="206">
        <f t="shared" si="22"/>
        <v>0</v>
      </c>
      <c r="E58" s="206">
        <f t="shared" si="22"/>
        <v>19200</v>
      </c>
      <c r="F58" s="206">
        <f t="shared" si="22"/>
        <v>31800</v>
      </c>
      <c r="G58" s="206">
        <f t="shared" si="22"/>
        <v>212400</v>
      </c>
      <c r="H58" s="206">
        <f t="shared" si="22"/>
        <v>302400</v>
      </c>
      <c r="I58" s="206">
        <f t="shared" si="22"/>
        <v>212400</v>
      </c>
      <c r="J58" s="206">
        <f t="shared" si="22"/>
        <v>302400</v>
      </c>
      <c r="K58" s="206">
        <f t="shared" si="22"/>
        <v>239920</v>
      </c>
      <c r="L58" s="206">
        <f t="shared" si="22"/>
        <v>319920</v>
      </c>
      <c r="M58" s="206">
        <f t="shared" si="22"/>
        <v>239920</v>
      </c>
      <c r="N58" s="206">
        <f t="shared" si="22"/>
        <v>319920</v>
      </c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0"/>
      <c r="Z58" s="220">
        <f>SUM(C58:X58)</f>
        <v>2200280</v>
      </c>
      <c r="AB58" s="80" t="s">
        <v>106</v>
      </c>
      <c r="AC58" s="80">
        <v>4</v>
      </c>
      <c r="AD58" s="80" t="s">
        <v>107</v>
      </c>
    </row>
    <row r="59" spans="1:30" ht="16">
      <c r="A59" s="318" t="s">
        <v>108</v>
      </c>
      <c r="B59" s="82" t="s">
        <v>91</v>
      </c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0"/>
      <c r="Z59" s="221"/>
      <c r="AB59" s="80" t="s">
        <v>109</v>
      </c>
      <c r="AC59" s="80">
        <v>2</v>
      </c>
      <c r="AD59" s="80" t="s">
        <v>110</v>
      </c>
    </row>
    <row r="60" spans="1:30" ht="26">
      <c r="A60" s="319"/>
      <c r="B60" s="109" t="s">
        <v>164</v>
      </c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0"/>
      <c r="Z60" s="219"/>
    </row>
    <row r="61" spans="1:30" ht="16">
      <c r="A61" s="319"/>
      <c r="B61" s="110" t="s">
        <v>191</v>
      </c>
      <c r="C61" s="198">
        <f>'Движение ОС'!E9</f>
        <v>30</v>
      </c>
      <c r="D61" s="198">
        <f>'Движение ОС'!F9</f>
        <v>0</v>
      </c>
      <c r="E61" s="198">
        <f>'Движение ОС'!G9</f>
        <v>160</v>
      </c>
      <c r="F61" s="198">
        <f>'Движение ОС'!H9</f>
        <v>0</v>
      </c>
      <c r="G61" s="198">
        <f>'Движение ОС'!I9</f>
        <v>2210</v>
      </c>
      <c r="H61" s="198">
        <f>'Движение ОС'!J9</f>
        <v>0</v>
      </c>
      <c r="I61" s="198">
        <f>'Движение ОС'!K9</f>
        <v>0</v>
      </c>
      <c r="J61" s="198">
        <f>'Движение ОС'!L9</f>
        <v>0</v>
      </c>
      <c r="K61" s="198">
        <f>'Движение ОС'!M9</f>
        <v>0</v>
      </c>
      <c r="L61" s="198">
        <f>'Движение ОС'!N9</f>
        <v>0</v>
      </c>
      <c r="M61" s="198">
        <f>'Движение ОС'!O9</f>
        <v>0</v>
      </c>
      <c r="N61" s="198">
        <f>'Движение ОС'!P9</f>
        <v>0</v>
      </c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0"/>
      <c r="Z61" s="219">
        <f t="shared" si="21"/>
        <v>2400</v>
      </c>
      <c r="AB61" s="80" t="s">
        <v>98</v>
      </c>
      <c r="AC61" s="84">
        <f>AC52/AC63*100</f>
        <v>107955.14795067716</v>
      </c>
      <c r="AD61" s="80" t="s">
        <v>111</v>
      </c>
    </row>
    <row r="62" spans="1:30">
      <c r="A62" s="319"/>
      <c r="B62" s="110" t="s">
        <v>249</v>
      </c>
      <c r="C62" s="198">
        <f>'Движение ОС'!E16</f>
        <v>0</v>
      </c>
      <c r="D62" s="198">
        <f>'Движение ОС'!F16</f>
        <v>0</v>
      </c>
      <c r="E62" s="198">
        <f>'Движение ОС'!G16</f>
        <v>1480</v>
      </c>
      <c r="F62" s="198">
        <f>'Движение ОС'!H16</f>
        <v>0</v>
      </c>
      <c r="G62" s="198">
        <f>'Движение ОС'!I16</f>
        <v>100</v>
      </c>
      <c r="H62" s="198">
        <f>'Движение ОС'!J16</f>
        <v>0</v>
      </c>
      <c r="I62" s="198">
        <f>'Движение ОС'!K16</f>
        <v>0</v>
      </c>
      <c r="J62" s="198">
        <f>'Движение ОС'!L16</f>
        <v>0</v>
      </c>
      <c r="K62" s="198">
        <f>'Движение ОС'!M16</f>
        <v>50</v>
      </c>
      <c r="L62" s="198">
        <f>'Движение ОС'!N16</f>
        <v>0</v>
      </c>
      <c r="M62" s="198">
        <f>'Движение ОС'!O16</f>
        <v>0</v>
      </c>
      <c r="N62" s="198">
        <f>'Движение ОС'!P16</f>
        <v>0</v>
      </c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0"/>
      <c r="Z62" s="219">
        <f t="shared" si="21"/>
        <v>1630</v>
      </c>
    </row>
    <row r="63" spans="1:30" ht="16">
      <c r="A63" s="319"/>
      <c r="B63" s="110" t="s">
        <v>193</v>
      </c>
      <c r="C63" s="198">
        <f>'Движение ОС'!E56</f>
        <v>0</v>
      </c>
      <c r="D63" s="198">
        <f>'Движение ОС'!F56</f>
        <v>0</v>
      </c>
      <c r="E63" s="198">
        <f>'Движение ОС'!G56</f>
        <v>0</v>
      </c>
      <c r="F63" s="198">
        <f>'Движение ОС'!H56</f>
        <v>0</v>
      </c>
      <c r="G63" s="198">
        <f>'Движение ОС'!I56</f>
        <v>1000</v>
      </c>
      <c r="H63" s="198">
        <f>'Движение ОС'!J56</f>
        <v>0</v>
      </c>
      <c r="I63" s="198">
        <f>'Движение ОС'!K56</f>
        <v>0</v>
      </c>
      <c r="J63" s="198">
        <f>'Движение ОС'!L56</f>
        <v>0</v>
      </c>
      <c r="K63" s="198">
        <f>'Движение ОС'!M56</f>
        <v>3000</v>
      </c>
      <c r="L63" s="198">
        <f>'Движение ОС'!N56</f>
        <v>0</v>
      </c>
      <c r="M63" s="198">
        <f>'Движение ОС'!O56</f>
        <v>0</v>
      </c>
      <c r="N63" s="198">
        <f>'Движение ОС'!P56</f>
        <v>0</v>
      </c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0"/>
      <c r="Z63" s="219">
        <f t="shared" si="21"/>
        <v>4000</v>
      </c>
      <c r="AC63" s="84">
        <f>AC59*N100</f>
        <v>585463.13835263264</v>
      </c>
      <c r="AD63" s="80" t="s">
        <v>112</v>
      </c>
    </row>
    <row r="64" spans="1:30">
      <c r="A64" s="319"/>
      <c r="B64" s="110" t="s">
        <v>194</v>
      </c>
      <c r="C64" s="198"/>
      <c r="D64" s="198"/>
      <c r="E64" s="198"/>
      <c r="F64" s="198"/>
      <c r="G64" s="198"/>
      <c r="H64" s="198"/>
      <c r="I64" s="198"/>
      <c r="J64" s="198"/>
      <c r="K64" s="210"/>
      <c r="L64" s="210"/>
      <c r="M64" s="198"/>
      <c r="N64" s="198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0"/>
      <c r="Z64" s="219">
        <f t="shared" si="21"/>
        <v>0</v>
      </c>
    </row>
    <row r="65" spans="1:30">
      <c r="A65" s="319"/>
      <c r="B65" s="110" t="s">
        <v>160</v>
      </c>
      <c r="C65" s="198"/>
      <c r="D65" s="198"/>
      <c r="E65" s="198"/>
      <c r="F65" s="198"/>
      <c r="G65" s="198"/>
      <c r="H65" s="198"/>
      <c r="I65" s="210"/>
      <c r="J65" s="210"/>
      <c r="K65" s="210"/>
      <c r="L65" s="210"/>
      <c r="M65" s="198"/>
      <c r="N65" s="198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0"/>
      <c r="Z65" s="219">
        <f t="shared" si="21"/>
        <v>0</v>
      </c>
    </row>
    <row r="66" spans="1:30">
      <c r="A66" s="319"/>
      <c r="B66" s="83"/>
      <c r="C66" s="199"/>
      <c r="D66" s="199"/>
      <c r="E66" s="199"/>
      <c r="F66" s="199"/>
      <c r="G66" s="199"/>
      <c r="H66" s="199"/>
      <c r="I66" s="211"/>
      <c r="J66" s="211"/>
      <c r="K66" s="211"/>
      <c r="L66" s="211"/>
      <c r="M66" s="199"/>
      <c r="N66" s="199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0"/>
      <c r="Z66" s="219"/>
    </row>
    <row r="67" spans="1:30">
      <c r="A67" s="319"/>
      <c r="B67" s="108" t="s">
        <v>165</v>
      </c>
      <c r="C67" s="204"/>
      <c r="D67" s="204"/>
      <c r="E67" s="204"/>
      <c r="F67" s="204"/>
      <c r="G67" s="204"/>
      <c r="H67" s="204"/>
      <c r="I67" s="212"/>
      <c r="J67" s="212"/>
      <c r="K67" s="212"/>
      <c r="L67" s="212"/>
      <c r="M67" s="204"/>
      <c r="N67" s="204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0"/>
      <c r="Z67" s="219"/>
    </row>
    <row r="68" spans="1:30">
      <c r="A68" s="319"/>
      <c r="B68" s="107"/>
      <c r="C68" s="204"/>
      <c r="D68" s="204"/>
      <c r="E68" s="204"/>
      <c r="F68" s="204"/>
      <c r="G68" s="204"/>
      <c r="H68" s="204"/>
      <c r="I68" s="212"/>
      <c r="J68" s="212"/>
      <c r="K68" s="212"/>
      <c r="L68" s="212"/>
      <c r="M68" s="204"/>
      <c r="N68" s="204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0"/>
      <c r="Z68" s="219"/>
    </row>
    <row r="69" spans="1:30">
      <c r="A69" s="319"/>
      <c r="B69" s="107" t="s">
        <v>191</v>
      </c>
      <c r="C69" s="204">
        <f>'Движение ОС'!E65</f>
        <v>400</v>
      </c>
      <c r="D69" s="204">
        <f>'Движение ОС'!F65</f>
        <v>450</v>
      </c>
      <c r="E69" s="204">
        <f>'Движение ОС'!G65</f>
        <v>2650</v>
      </c>
      <c r="F69" s="204">
        <f>'Движение ОС'!H65</f>
        <v>800</v>
      </c>
      <c r="G69" s="204">
        <f>'Движение ОС'!I65</f>
        <v>2000</v>
      </c>
      <c r="H69" s="204">
        <f>'Движение ОС'!J65</f>
        <v>450</v>
      </c>
      <c r="I69" s="204">
        <f>'Движение ОС'!K65</f>
        <v>2000</v>
      </c>
      <c r="J69" s="204">
        <f>'Движение ОС'!L65</f>
        <v>0</v>
      </c>
      <c r="K69" s="204">
        <f>'Движение ОС'!M65</f>
        <v>20000</v>
      </c>
      <c r="L69" s="204">
        <f>'Движение ОС'!N65</f>
        <v>1350</v>
      </c>
      <c r="M69" s="204">
        <f>'Движение ОС'!O65</f>
        <v>0</v>
      </c>
      <c r="N69" s="204">
        <f>'Движение ОС'!P65</f>
        <v>0</v>
      </c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0"/>
      <c r="Z69" s="219"/>
    </row>
    <row r="70" spans="1:30">
      <c r="A70" s="319"/>
      <c r="B70" s="107" t="s">
        <v>192</v>
      </c>
      <c r="C70" s="204">
        <f>'Движение ОС'!E73</f>
        <v>70</v>
      </c>
      <c r="D70" s="204">
        <f>'Движение ОС'!F73</f>
        <v>0</v>
      </c>
      <c r="E70" s="204">
        <f>'Движение ОС'!G73</f>
        <v>580</v>
      </c>
      <c r="F70" s="204">
        <f>'Движение ОС'!H73</f>
        <v>0</v>
      </c>
      <c r="G70" s="204">
        <f>'Движение ОС'!I73</f>
        <v>270</v>
      </c>
      <c r="H70" s="204">
        <f>'Движение ОС'!J73</f>
        <v>0</v>
      </c>
      <c r="I70" s="204">
        <f>'Движение ОС'!K73</f>
        <v>0</v>
      </c>
      <c r="J70" s="204">
        <f>'Движение ОС'!L73</f>
        <v>0</v>
      </c>
      <c r="K70" s="204">
        <f>'Движение ОС'!M73</f>
        <v>360</v>
      </c>
      <c r="L70" s="204">
        <f>'Движение ОС'!N73</f>
        <v>0</v>
      </c>
      <c r="M70" s="204">
        <f>'Движение ОС'!O73</f>
        <v>0</v>
      </c>
      <c r="N70" s="204">
        <f>'Движение ОС'!P73</f>
        <v>0</v>
      </c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0"/>
      <c r="Z70" s="219"/>
    </row>
    <row r="71" spans="1:30">
      <c r="A71" s="319"/>
      <c r="B71" s="107" t="s">
        <v>193</v>
      </c>
      <c r="C71" s="204">
        <f>'Движение ОС'!E104</f>
        <v>0</v>
      </c>
      <c r="D71" s="204">
        <f>'Движение ОС'!F104</f>
        <v>0</v>
      </c>
      <c r="E71" s="204">
        <f>'Движение ОС'!G104</f>
        <v>0</v>
      </c>
      <c r="F71" s="204">
        <f>'Движение ОС'!H104</f>
        <v>1040</v>
      </c>
      <c r="G71" s="204">
        <f>'Движение ОС'!I104</f>
        <v>0</v>
      </c>
      <c r="H71" s="204">
        <f>'Движение ОС'!J104</f>
        <v>0</v>
      </c>
      <c r="I71" s="204">
        <f>'Движение ОС'!K104</f>
        <v>0</v>
      </c>
      <c r="J71" s="204">
        <f>'Движение ОС'!L104</f>
        <v>0</v>
      </c>
      <c r="K71" s="204">
        <f>'Движение ОС'!M104</f>
        <v>6000</v>
      </c>
      <c r="L71" s="204">
        <f>'Движение ОС'!N104</f>
        <v>0</v>
      </c>
      <c r="M71" s="204">
        <f>'Движение ОС'!O104</f>
        <v>0</v>
      </c>
      <c r="N71" s="204">
        <f>'Движение ОС'!P104</f>
        <v>0</v>
      </c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0"/>
      <c r="Z71" s="219"/>
    </row>
    <row r="72" spans="1:30">
      <c r="A72" s="319"/>
      <c r="B72" s="107" t="s">
        <v>194</v>
      </c>
      <c r="C72" s="204"/>
      <c r="D72" s="204"/>
      <c r="E72" s="204"/>
      <c r="F72" s="204"/>
      <c r="G72" s="204"/>
      <c r="H72" s="204"/>
      <c r="I72" s="212"/>
      <c r="J72" s="212"/>
      <c r="K72" s="212"/>
      <c r="L72" s="212"/>
      <c r="M72" s="204"/>
      <c r="N72" s="204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0"/>
      <c r="Z72" s="219"/>
    </row>
    <row r="73" spans="1:30">
      <c r="A73" s="319"/>
      <c r="B73" s="107" t="s">
        <v>160</v>
      </c>
      <c r="C73" s="204"/>
      <c r="D73" s="204"/>
      <c r="E73" s="204"/>
      <c r="F73" s="204"/>
      <c r="G73" s="204"/>
      <c r="H73" s="204"/>
      <c r="I73" s="212"/>
      <c r="J73" s="212"/>
      <c r="K73" s="212"/>
      <c r="L73" s="212"/>
      <c r="M73" s="204"/>
      <c r="N73" s="204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0"/>
      <c r="Z73" s="219"/>
    </row>
    <row r="74" spans="1:30">
      <c r="A74" s="319"/>
      <c r="B74" s="83"/>
      <c r="C74" s="199"/>
      <c r="D74" s="199"/>
      <c r="E74" s="199"/>
      <c r="F74" s="199"/>
      <c r="G74" s="199"/>
      <c r="H74" s="199"/>
      <c r="I74" s="211"/>
      <c r="J74" s="211"/>
      <c r="K74" s="211"/>
      <c r="L74" s="211"/>
      <c r="M74" s="199"/>
      <c r="N74" s="199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0"/>
      <c r="Z74" s="219"/>
    </row>
    <row r="75" spans="1:30" ht="16">
      <c r="A75" s="319"/>
      <c r="B75" s="82" t="s">
        <v>100</v>
      </c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0"/>
      <c r="Z75" s="219">
        <f t="shared" si="21"/>
        <v>0</v>
      </c>
      <c r="AB75" s="86" t="s">
        <v>113</v>
      </c>
      <c r="AC75" s="87">
        <f>SUM(AC76:AC78)</f>
        <v>0.19999999999999998</v>
      </c>
      <c r="AD75" s="86" t="s">
        <v>114</v>
      </c>
    </row>
    <row r="76" spans="1:30" ht="16">
      <c r="A76" s="319"/>
      <c r="B76" s="83" t="s">
        <v>195</v>
      </c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0"/>
      <c r="Z76" s="219">
        <f t="shared" si="21"/>
        <v>0</v>
      </c>
      <c r="AB76" s="86" t="s">
        <v>115</v>
      </c>
      <c r="AC76" s="87">
        <v>0.06</v>
      </c>
      <c r="AD76" s="86" t="s">
        <v>116</v>
      </c>
    </row>
    <row r="77" spans="1:30" ht="17" thickBot="1">
      <c r="A77" s="324"/>
      <c r="B77" s="85" t="s">
        <v>196</v>
      </c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0"/>
      <c r="Z77" s="220">
        <f t="shared" si="21"/>
        <v>0</v>
      </c>
      <c r="AB77" s="86" t="s">
        <v>117</v>
      </c>
      <c r="AC77" s="87">
        <v>0.11</v>
      </c>
      <c r="AD77" s="86" t="s">
        <v>118</v>
      </c>
    </row>
    <row r="78" spans="1:30" ht="16">
      <c r="A78" s="318" t="s">
        <v>119</v>
      </c>
      <c r="B78" s="82" t="s">
        <v>91</v>
      </c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0"/>
      <c r="Z78" s="221"/>
      <c r="AB78" s="86" t="s">
        <v>120</v>
      </c>
      <c r="AC78" s="87">
        <v>0.03</v>
      </c>
      <c r="AD78" s="86" t="s">
        <v>121</v>
      </c>
    </row>
    <row r="79" spans="1:30" ht="16">
      <c r="A79" s="319"/>
      <c r="B79" s="83" t="s">
        <v>197</v>
      </c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0"/>
      <c r="Z79" s="219">
        <f t="shared" si="21"/>
        <v>0</v>
      </c>
      <c r="AB79" s="86" t="s">
        <v>122</v>
      </c>
      <c r="AC79" s="87">
        <f>1+AC75</f>
        <v>1.2</v>
      </c>
      <c r="AD79" s="86"/>
    </row>
    <row r="80" spans="1:30" ht="16">
      <c r="A80" s="319"/>
      <c r="B80" s="83" t="s">
        <v>198</v>
      </c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0"/>
      <c r="Z80" s="219">
        <f t="shared" si="21"/>
        <v>0</v>
      </c>
      <c r="AB80" s="86" t="s">
        <v>123</v>
      </c>
      <c r="AC80" s="88">
        <f>NPV(AC75,H107,I107:J107)*1000</f>
        <v>284125525.49989867</v>
      </c>
      <c r="AD80" s="86" t="s">
        <v>124</v>
      </c>
    </row>
    <row r="81" spans="1:30" ht="16">
      <c r="A81" s="319"/>
      <c r="B81" s="83" t="s">
        <v>199</v>
      </c>
      <c r="C81" s="199"/>
      <c r="D81" s="199"/>
      <c r="E81" s="199"/>
      <c r="F81" s="199"/>
      <c r="G81" s="199"/>
      <c r="H81" s="199"/>
      <c r="I81" s="199"/>
      <c r="J81" s="199"/>
      <c r="K81" s="199"/>
      <c r="L81" s="199">
        <v>6000</v>
      </c>
      <c r="M81" s="199"/>
      <c r="N81" s="199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0"/>
      <c r="Z81" s="219">
        <f t="shared" si="21"/>
        <v>6000</v>
      </c>
      <c r="AB81" s="86" t="s">
        <v>125</v>
      </c>
      <c r="AC81" s="89">
        <f>2-(F103/(N103-F103))</f>
        <v>2.0170282605356014</v>
      </c>
      <c r="AD81" s="86" t="s">
        <v>126</v>
      </c>
    </row>
    <row r="82" spans="1:30" ht="16">
      <c r="A82" s="319"/>
      <c r="B82" s="83" t="s">
        <v>200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0"/>
      <c r="Z82" s="219">
        <f t="shared" si="21"/>
        <v>0</v>
      </c>
      <c r="AB82" s="86" t="s">
        <v>105</v>
      </c>
      <c r="AC82" s="87">
        <f>J109</f>
        <v>0.6308627504341715</v>
      </c>
      <c r="AD82" s="86" t="s">
        <v>127</v>
      </c>
    </row>
    <row r="83" spans="1:30" ht="16">
      <c r="A83" s="319"/>
      <c r="B83" s="83" t="s">
        <v>160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0"/>
      <c r="Z83" s="219">
        <f t="shared" si="21"/>
        <v>0</v>
      </c>
      <c r="AB83" s="86" t="s">
        <v>97</v>
      </c>
      <c r="AC83" s="89">
        <f>AC26/100</f>
        <v>6.6746132590106448</v>
      </c>
      <c r="AD83" s="86" t="s">
        <v>128</v>
      </c>
    </row>
    <row r="84" spans="1:30">
      <c r="A84" s="319"/>
      <c r="B84" s="83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0"/>
      <c r="Z84" s="219"/>
      <c r="AB84" s="86"/>
      <c r="AC84" s="89"/>
      <c r="AD84" s="86"/>
    </row>
    <row r="85" spans="1:30" ht="16">
      <c r="A85" s="319"/>
      <c r="B85" s="82" t="s">
        <v>100</v>
      </c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0"/>
      <c r="Z85" s="219"/>
      <c r="AB85" s="86" t="s">
        <v>97</v>
      </c>
      <c r="AC85" s="89">
        <f>AC19/SUM(Z86:Z91)</f>
        <v>6.6746132590106448</v>
      </c>
      <c r="AD85" s="86" t="s">
        <v>129</v>
      </c>
    </row>
    <row r="86" spans="1:30">
      <c r="A86" s="319"/>
      <c r="B86" s="83" t="s">
        <v>201</v>
      </c>
      <c r="C86" s="199"/>
      <c r="D86" s="199"/>
      <c r="E86" s="199"/>
      <c r="F86" s="199"/>
      <c r="G86" s="199"/>
      <c r="H86" s="199"/>
      <c r="I86" s="211"/>
      <c r="J86" s="199"/>
      <c r="K86" s="211"/>
      <c r="L86" s="199"/>
      <c r="M86" s="199"/>
      <c r="N86" s="199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0"/>
      <c r="Z86" s="219">
        <f t="shared" si="21"/>
        <v>0</v>
      </c>
      <c r="AB86" s="86"/>
      <c r="AC86" s="86"/>
      <c r="AD86" s="86"/>
    </row>
    <row r="87" spans="1:30">
      <c r="A87" s="319"/>
      <c r="B87" s="110" t="s">
        <v>202</v>
      </c>
      <c r="C87" s="198"/>
      <c r="D87" s="198"/>
      <c r="E87" s="198">
        <v>20000</v>
      </c>
      <c r="F87" s="198"/>
      <c r="G87" s="198"/>
      <c r="H87" s="198"/>
      <c r="I87" s="210"/>
      <c r="J87" s="198"/>
      <c r="K87" s="210"/>
      <c r="L87" s="198"/>
      <c r="M87" s="198"/>
      <c r="N87" s="198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0"/>
      <c r="Z87" s="219">
        <f>SUM(C87:Y87)</f>
        <v>20000</v>
      </c>
      <c r="AB87" s="86"/>
      <c r="AC87" s="86"/>
      <c r="AD87" s="86"/>
    </row>
    <row r="88" spans="1:30">
      <c r="A88" s="319"/>
      <c r="B88" s="107" t="s">
        <v>203</v>
      </c>
      <c r="C88" s="204"/>
      <c r="D88" s="204"/>
      <c r="E88" s="204"/>
      <c r="F88" s="204"/>
      <c r="G88" s="204"/>
      <c r="H88" s="204"/>
      <c r="I88" s="212"/>
      <c r="J88" s="204"/>
      <c r="K88" s="212"/>
      <c r="L88" s="204"/>
      <c r="M88" s="204"/>
      <c r="N88" s="204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0"/>
      <c r="Z88" s="219">
        <f>SUM(C88:Y88)</f>
        <v>0</v>
      </c>
      <c r="AB88" s="86"/>
      <c r="AC88" s="86"/>
      <c r="AD88" s="86"/>
    </row>
    <row r="89" spans="1:30">
      <c r="A89" s="319"/>
      <c r="B89" s="83" t="s">
        <v>204</v>
      </c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0"/>
      <c r="Z89" s="219">
        <f t="shared" si="21"/>
        <v>0</v>
      </c>
      <c r="AB89" s="86"/>
      <c r="AC89" s="86"/>
      <c r="AD89" s="86"/>
    </row>
    <row r="90" spans="1:30">
      <c r="A90" s="319"/>
      <c r="B90" s="83" t="s">
        <v>205</v>
      </c>
      <c r="C90" s="199">
        <v>4887</v>
      </c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0"/>
      <c r="Z90" s="219">
        <f t="shared" si="21"/>
        <v>4887</v>
      </c>
      <c r="AB90" s="86"/>
      <c r="AC90" s="86"/>
      <c r="AD90" s="86"/>
    </row>
    <row r="91" spans="1:30" ht="16" thickBot="1">
      <c r="A91" s="320"/>
      <c r="B91" s="90" t="s">
        <v>206</v>
      </c>
      <c r="C91" s="214"/>
      <c r="D91" s="214"/>
      <c r="E91" s="214"/>
      <c r="F91" s="214">
        <v>72000</v>
      </c>
      <c r="G91" s="214"/>
      <c r="H91" s="214"/>
      <c r="I91" s="214"/>
      <c r="J91" s="214"/>
      <c r="K91" s="214"/>
      <c r="L91" s="214"/>
      <c r="M91" s="214"/>
      <c r="N91" s="214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00"/>
      <c r="Z91" s="220">
        <f t="shared" si="21"/>
        <v>72000</v>
      </c>
    </row>
    <row r="92" spans="1:30" ht="17" thickBot="1">
      <c r="A92" s="321" t="s">
        <v>130</v>
      </c>
      <c r="B92" s="322"/>
      <c r="C92" s="216"/>
      <c r="D92" s="216">
        <f>C93</f>
        <v>1965.0771413206503</v>
      </c>
      <c r="E92" s="216">
        <f t="shared" ref="E92:X92" si="23">D93</f>
        <v>-0.30665867934976632</v>
      </c>
      <c r="F92" s="216">
        <f t="shared" si="23"/>
        <v>14546.796813392331</v>
      </c>
      <c r="G92" s="216">
        <f t="shared" si="23"/>
        <v>89774.712742328004</v>
      </c>
      <c r="H92" s="216">
        <f t="shared" si="23"/>
        <v>9726.5812261023675</v>
      </c>
      <c r="I92" s="216">
        <f t="shared" si="23"/>
        <v>108760.44043479933</v>
      </c>
      <c r="J92" s="216">
        <f t="shared" si="23"/>
        <v>129517.68035754064</v>
      </c>
      <c r="K92" s="216">
        <f t="shared" si="23"/>
        <v>263507.23985779146</v>
      </c>
      <c r="L92" s="216">
        <f t="shared" si="23"/>
        <v>272351.35024060932</v>
      </c>
      <c r="M92" s="216">
        <f t="shared" si="23"/>
        <v>415713.83521414187</v>
      </c>
      <c r="N92" s="216">
        <f t="shared" si="23"/>
        <v>454938.58753495343</v>
      </c>
      <c r="O92" s="217">
        <f t="shared" si="23"/>
        <v>556238.80903410772</v>
      </c>
      <c r="P92" s="217">
        <f t="shared" si="23"/>
        <v>556238.80903410772</v>
      </c>
      <c r="Q92" s="217">
        <f t="shared" si="23"/>
        <v>556238.80903410772</v>
      </c>
      <c r="R92" s="217">
        <f t="shared" si="23"/>
        <v>556238.80903410772</v>
      </c>
      <c r="S92" s="217">
        <f t="shared" si="23"/>
        <v>556238.80903410772</v>
      </c>
      <c r="T92" s="217">
        <f t="shared" si="23"/>
        <v>556238.80903410772</v>
      </c>
      <c r="U92" s="217">
        <f t="shared" si="23"/>
        <v>556238.80903410772</v>
      </c>
      <c r="V92" s="217">
        <f t="shared" si="23"/>
        <v>556238.80903410772</v>
      </c>
      <c r="W92" s="217">
        <f t="shared" si="23"/>
        <v>556238.80903410772</v>
      </c>
      <c r="X92" s="217">
        <f t="shared" si="23"/>
        <v>556238.80903410772</v>
      </c>
      <c r="Y92" s="200"/>
      <c r="Z92" s="219"/>
      <c r="AB92" s="80" t="s">
        <v>123</v>
      </c>
      <c r="AC92" s="91">
        <f>NPV(0.1,I93:T93)-SUM(I87:K87)</f>
        <v>2788015.8441466345</v>
      </c>
      <c r="AD92" s="80" t="s">
        <v>131</v>
      </c>
    </row>
    <row r="93" spans="1:30" ht="17" thickBot="1">
      <c r="A93" s="321" t="s">
        <v>132</v>
      </c>
      <c r="B93" s="322"/>
      <c r="C93" s="216">
        <f>C58+SUM(C76:C77)+SUM(C86:C91)-SUM(C52,C61:C73,C79:C83)</f>
        <v>1965.0771413206503</v>
      </c>
      <c r="D93" s="216">
        <f t="shared" ref="D93:N93" si="24">D92+D58+SUM(D76:D77)+SUM(D86:D91)-D52-SUM(D61:D65)-SUM(D67:D73)-SUM(D79:D83)</f>
        <v>-0.30665867934976632</v>
      </c>
      <c r="E93" s="216">
        <f t="shared" si="24"/>
        <v>14546.796813392331</v>
      </c>
      <c r="F93" s="216">
        <f t="shared" si="24"/>
        <v>89774.712742328004</v>
      </c>
      <c r="G93" s="216">
        <f t="shared" si="24"/>
        <v>9726.5812261023675</v>
      </c>
      <c r="H93" s="216">
        <f t="shared" si="24"/>
        <v>108760.44043479933</v>
      </c>
      <c r="I93" s="216">
        <f t="shared" si="24"/>
        <v>129517.68035754064</v>
      </c>
      <c r="J93" s="216">
        <f t="shared" si="24"/>
        <v>263507.23985779146</v>
      </c>
      <c r="K93" s="216">
        <f t="shared" si="24"/>
        <v>272351.35024060932</v>
      </c>
      <c r="L93" s="216">
        <f t="shared" si="24"/>
        <v>415713.83521414187</v>
      </c>
      <c r="M93" s="216">
        <f t="shared" si="24"/>
        <v>454938.58753495343</v>
      </c>
      <c r="N93" s="216">
        <f t="shared" si="24"/>
        <v>556238.80903410772</v>
      </c>
      <c r="O93" s="217">
        <f t="shared" ref="O93:X93" si="25">SUM(O54:O55)+SUM(O76:O77)+SUM(O86:O91)-SUM(O9:O51,O61:O65,O79:O83)+O92</f>
        <v>556238.80903410772</v>
      </c>
      <c r="P93" s="217">
        <f t="shared" si="25"/>
        <v>556238.80903410772</v>
      </c>
      <c r="Q93" s="217">
        <f t="shared" si="25"/>
        <v>556238.80903410772</v>
      </c>
      <c r="R93" s="217">
        <f t="shared" si="25"/>
        <v>556238.80903410772</v>
      </c>
      <c r="S93" s="217">
        <f t="shared" si="25"/>
        <v>556238.80903410772</v>
      </c>
      <c r="T93" s="217">
        <f t="shared" si="25"/>
        <v>556238.80903410772</v>
      </c>
      <c r="U93" s="217">
        <f t="shared" si="25"/>
        <v>556238.80903410772</v>
      </c>
      <c r="V93" s="217">
        <f t="shared" si="25"/>
        <v>556238.80903410772</v>
      </c>
      <c r="W93" s="217">
        <f t="shared" si="25"/>
        <v>556238.80903410772</v>
      </c>
      <c r="X93" s="217">
        <f t="shared" si="25"/>
        <v>556238.80903410772</v>
      </c>
      <c r="Y93" s="200"/>
      <c r="Z93" s="222"/>
      <c r="AB93" s="80" t="s">
        <v>133</v>
      </c>
      <c r="AC93" s="91">
        <f>NPV(0.1,M93,Q93,U93)-SUM(I87:K87)</f>
        <v>1291192.4792553864</v>
      </c>
      <c r="AD93" s="80" t="s">
        <v>134</v>
      </c>
    </row>
    <row r="96" spans="1:30" s="95" customFormat="1">
      <c r="A96" s="94"/>
      <c r="B96" s="122" t="s">
        <v>135</v>
      </c>
      <c r="C96" s="125"/>
      <c r="D96" s="125"/>
      <c r="E96" s="125"/>
      <c r="F96" s="125">
        <v>1</v>
      </c>
      <c r="G96" s="126"/>
      <c r="H96" s="126"/>
      <c r="I96" s="126"/>
      <c r="J96" s="126">
        <v>2</v>
      </c>
      <c r="K96" s="127"/>
      <c r="L96" s="127"/>
      <c r="M96" s="127"/>
      <c r="N96" s="127">
        <v>3</v>
      </c>
      <c r="O96" s="123"/>
      <c r="P96" s="123"/>
      <c r="Q96" s="123"/>
      <c r="R96" s="123">
        <v>3</v>
      </c>
      <c r="S96" s="123"/>
      <c r="T96" s="123"/>
      <c r="U96" s="123"/>
      <c r="V96" s="123">
        <v>4</v>
      </c>
      <c r="W96" s="123"/>
      <c r="X96" s="123"/>
      <c r="Z96" s="223"/>
    </row>
    <row r="97" spans="2:26" s="92" customFormat="1">
      <c r="B97" s="124" t="s">
        <v>136</v>
      </c>
      <c r="C97" s="227">
        <f t="shared" ref="C97:X97" si="26">SUM(C55:C56)</f>
        <v>0</v>
      </c>
      <c r="D97" s="227">
        <f t="shared" si="26"/>
        <v>0</v>
      </c>
      <c r="E97" s="227">
        <f t="shared" si="26"/>
        <v>19200</v>
      </c>
      <c r="F97" s="228">
        <f t="shared" si="26"/>
        <v>31800</v>
      </c>
      <c r="G97" s="227">
        <f t="shared" si="26"/>
        <v>212400</v>
      </c>
      <c r="H97" s="227">
        <f t="shared" si="26"/>
        <v>302400</v>
      </c>
      <c r="I97" s="227">
        <f t="shared" si="26"/>
        <v>212400</v>
      </c>
      <c r="J97" s="229">
        <f t="shared" si="26"/>
        <v>302400</v>
      </c>
      <c r="K97" s="227">
        <f t="shared" si="26"/>
        <v>239920</v>
      </c>
      <c r="L97" s="227">
        <f t="shared" si="26"/>
        <v>319920</v>
      </c>
      <c r="M97" s="227">
        <f t="shared" si="26"/>
        <v>239920</v>
      </c>
      <c r="N97" s="230">
        <f t="shared" si="26"/>
        <v>319920</v>
      </c>
      <c r="O97" s="128">
        <f t="shared" si="26"/>
        <v>0</v>
      </c>
      <c r="P97" s="128">
        <f t="shared" si="26"/>
        <v>0</v>
      </c>
      <c r="Q97" s="128">
        <f t="shared" si="26"/>
        <v>0</v>
      </c>
      <c r="R97" s="128">
        <f t="shared" si="26"/>
        <v>0</v>
      </c>
      <c r="S97" s="128">
        <f t="shared" si="26"/>
        <v>0</v>
      </c>
      <c r="T97" s="128">
        <f t="shared" si="26"/>
        <v>0</v>
      </c>
      <c r="U97" s="128">
        <f t="shared" si="26"/>
        <v>0</v>
      </c>
      <c r="V97" s="128">
        <f t="shared" si="26"/>
        <v>0</v>
      </c>
      <c r="W97" s="128">
        <f t="shared" si="26"/>
        <v>0</v>
      </c>
      <c r="X97" s="128">
        <f t="shared" si="26"/>
        <v>0</v>
      </c>
      <c r="Z97" s="135"/>
    </row>
    <row r="98" spans="2:26" s="92" customFormat="1">
      <c r="B98" s="124" t="s">
        <v>137</v>
      </c>
      <c r="C98" s="227">
        <f t="shared" ref="C98:N98" si="27">SUM(C52,C61:C65,C69:C73,C79:C83)</f>
        <v>2921.9228586793497</v>
      </c>
      <c r="D98" s="227">
        <f t="shared" si="27"/>
        <v>1965.3838000000001</v>
      </c>
      <c r="E98" s="227">
        <f t="shared" si="27"/>
        <v>24652.896527928318</v>
      </c>
      <c r="F98" s="228">
        <f t="shared" si="27"/>
        <v>28572.084071064321</v>
      </c>
      <c r="G98" s="227">
        <f t="shared" si="27"/>
        <v>292448.13151622564</v>
      </c>
      <c r="H98" s="227">
        <f t="shared" si="27"/>
        <v>203366.14079130304</v>
      </c>
      <c r="I98" s="227">
        <f t="shared" si="27"/>
        <v>191642.76007725866</v>
      </c>
      <c r="J98" s="229">
        <f t="shared" si="27"/>
        <v>168410.44049974912</v>
      </c>
      <c r="K98" s="227">
        <f t="shared" si="27"/>
        <v>231075.88961718214</v>
      </c>
      <c r="L98" s="227">
        <f t="shared" si="27"/>
        <v>176557.5150264675</v>
      </c>
      <c r="M98" s="227">
        <f t="shared" si="27"/>
        <v>200695.24767918844</v>
      </c>
      <c r="N98" s="230">
        <f t="shared" si="27"/>
        <v>218619.7785008456</v>
      </c>
      <c r="O98" s="128">
        <f t="shared" ref="O98:X98" si="28">SUM(O27,O48,O61:O65,O69:O73,O79:O83)</f>
        <v>0</v>
      </c>
      <c r="P98" s="128">
        <f t="shared" si="28"/>
        <v>0</v>
      </c>
      <c r="Q98" s="128">
        <f t="shared" si="28"/>
        <v>0</v>
      </c>
      <c r="R98" s="128">
        <f t="shared" si="28"/>
        <v>0</v>
      </c>
      <c r="S98" s="128">
        <f t="shared" si="28"/>
        <v>0</v>
      </c>
      <c r="T98" s="128">
        <f t="shared" si="28"/>
        <v>0</v>
      </c>
      <c r="U98" s="128">
        <f t="shared" si="28"/>
        <v>0</v>
      </c>
      <c r="V98" s="128">
        <f t="shared" si="28"/>
        <v>0</v>
      </c>
      <c r="W98" s="128">
        <f t="shared" si="28"/>
        <v>0</v>
      </c>
      <c r="X98" s="128">
        <f t="shared" si="28"/>
        <v>0</v>
      </c>
      <c r="Z98" s="135"/>
    </row>
    <row r="99" spans="2:26" s="92" customFormat="1">
      <c r="B99" s="124" t="s">
        <v>138</v>
      </c>
      <c r="C99" s="227">
        <f>C97-C98</f>
        <v>-2921.9228586793497</v>
      </c>
      <c r="D99" s="227">
        <f t="shared" ref="D99:X99" si="29">D97-D98</f>
        <v>-1965.3838000000001</v>
      </c>
      <c r="E99" s="227">
        <f t="shared" si="29"/>
        <v>-5452.8965279283184</v>
      </c>
      <c r="F99" s="228">
        <f t="shared" si="29"/>
        <v>3227.9159289356794</v>
      </c>
      <c r="G99" s="227">
        <f t="shared" si="29"/>
        <v>-80048.131516225636</v>
      </c>
      <c r="H99" s="227">
        <f t="shared" si="29"/>
        <v>99033.859208696958</v>
      </c>
      <c r="I99" s="227">
        <f t="shared" si="29"/>
        <v>20757.239922741341</v>
      </c>
      <c r="J99" s="229">
        <f t="shared" si="29"/>
        <v>133989.55950025088</v>
      </c>
      <c r="K99" s="227">
        <f t="shared" si="29"/>
        <v>8844.1103828178602</v>
      </c>
      <c r="L99" s="227">
        <f t="shared" si="29"/>
        <v>143362.4849735325</v>
      </c>
      <c r="M99" s="227">
        <f t="shared" si="29"/>
        <v>39224.75232081156</v>
      </c>
      <c r="N99" s="230">
        <f t="shared" si="29"/>
        <v>101300.2214991544</v>
      </c>
      <c r="O99" s="128">
        <f t="shared" si="29"/>
        <v>0</v>
      </c>
      <c r="P99" s="128">
        <f t="shared" si="29"/>
        <v>0</v>
      </c>
      <c r="Q99" s="128">
        <f t="shared" si="29"/>
        <v>0</v>
      </c>
      <c r="R99" s="128">
        <f t="shared" si="29"/>
        <v>0</v>
      </c>
      <c r="S99" s="128">
        <f t="shared" si="29"/>
        <v>0</v>
      </c>
      <c r="T99" s="128">
        <f t="shared" si="29"/>
        <v>0</v>
      </c>
      <c r="U99" s="128">
        <f t="shared" si="29"/>
        <v>0</v>
      </c>
      <c r="V99" s="128">
        <f t="shared" si="29"/>
        <v>0</v>
      </c>
      <c r="W99" s="128">
        <f t="shared" si="29"/>
        <v>0</v>
      </c>
      <c r="X99" s="128">
        <f t="shared" si="29"/>
        <v>0</v>
      </c>
      <c r="Z99" s="135"/>
    </row>
    <row r="100" spans="2:26" s="92" customFormat="1">
      <c r="B100" s="124" t="s">
        <v>139</v>
      </c>
      <c r="C100" s="227"/>
      <c r="D100" s="227"/>
      <c r="E100" s="227"/>
      <c r="F100" s="228">
        <f>SUM(C99:F99)</f>
        <v>-7112.2872576719892</v>
      </c>
      <c r="G100" s="227"/>
      <c r="H100" s="231">
        <f>SUM(C99:H99)</f>
        <v>11873.440434799326</v>
      </c>
      <c r="I100" s="227"/>
      <c r="J100" s="229">
        <f>SUM(G99:J99)</f>
        <v>173732.52711546354</v>
      </c>
      <c r="K100" s="227"/>
      <c r="L100" s="231">
        <f>SUM(I99:L99)</f>
        <v>306953.39477934258</v>
      </c>
      <c r="M100" s="227"/>
      <c r="N100" s="230">
        <f>SUM(K99:N99)</f>
        <v>292731.56917631632</v>
      </c>
      <c r="O100" s="128"/>
      <c r="P100" s="129">
        <f>SUM(M99:P99)</f>
        <v>140524.97381996596</v>
      </c>
      <c r="Q100" s="128"/>
      <c r="R100" s="128"/>
      <c r="S100" s="128"/>
      <c r="T100" s="128">
        <f>SUM(Q99:T99)</f>
        <v>0</v>
      </c>
      <c r="U100" s="128"/>
      <c r="V100" s="128"/>
      <c r="W100" s="128"/>
      <c r="X100" s="128">
        <f>SUM(U99:X99)</f>
        <v>0</v>
      </c>
      <c r="Z100" s="135"/>
    </row>
    <row r="101" spans="2:26" s="92" customFormat="1" ht="15" customHeight="1">
      <c r="B101" s="124" t="s">
        <v>140</v>
      </c>
      <c r="C101" s="128"/>
      <c r="D101" s="128"/>
      <c r="E101" s="128"/>
      <c r="F101" s="130">
        <f>POWER(AC79,-F96)</f>
        <v>0.83333333333333337</v>
      </c>
      <c r="G101" s="128"/>
      <c r="H101" s="129">
        <f>POWER(AC79,-H96)</f>
        <v>1</v>
      </c>
      <c r="I101" s="128"/>
      <c r="J101" s="131">
        <f>POWER(AC79,-1)</f>
        <v>0.83333333333333337</v>
      </c>
      <c r="K101" s="128"/>
      <c r="L101" s="129">
        <f>POWER(AC79,-1)</f>
        <v>0.83333333333333337</v>
      </c>
      <c r="M101" s="128"/>
      <c r="N101" s="132">
        <f>POWER(AC79,-2)</f>
        <v>0.69444444444444442</v>
      </c>
      <c r="O101" s="128"/>
      <c r="P101" s="129">
        <f>POWER(AC79,-2)</f>
        <v>0.69444444444444442</v>
      </c>
      <c r="Q101" s="128"/>
      <c r="R101" s="128"/>
      <c r="S101" s="128"/>
      <c r="T101" s="128">
        <f>POWER(AC79,-3)</f>
        <v>0.57870370370370372</v>
      </c>
      <c r="U101" s="128"/>
      <c r="V101" s="128"/>
      <c r="W101" s="128"/>
      <c r="X101" s="128">
        <f>POWER(AC79,-4)</f>
        <v>0.48225308641975312</v>
      </c>
      <c r="Z101" s="135"/>
    </row>
    <row r="102" spans="2:26" s="92" customFormat="1">
      <c r="B102" s="124" t="s">
        <v>141</v>
      </c>
      <c r="C102" s="227"/>
      <c r="D102" s="227"/>
      <c r="E102" s="227"/>
      <c r="F102" s="228">
        <f>F100*F101</f>
        <v>-5926.906048059991</v>
      </c>
      <c r="G102" s="227"/>
      <c r="H102" s="231">
        <f>H100*H101</f>
        <v>11873.440434799326</v>
      </c>
      <c r="I102" s="227"/>
      <c r="J102" s="229">
        <f>J100*J101</f>
        <v>144777.10592955296</v>
      </c>
      <c r="K102" s="227"/>
      <c r="L102" s="231">
        <f>L100*L101</f>
        <v>255794.49564945215</v>
      </c>
      <c r="M102" s="227"/>
      <c r="N102" s="230">
        <f>N100*N101</f>
        <v>203285.81192799745</v>
      </c>
      <c r="O102" s="128"/>
      <c r="P102" s="129">
        <f>P100*P101</f>
        <v>97586.787374976353</v>
      </c>
      <c r="Q102" s="128"/>
      <c r="R102" s="128"/>
      <c r="S102" s="128"/>
      <c r="T102" s="128">
        <f>T100*T101</f>
        <v>0</v>
      </c>
      <c r="U102" s="128"/>
      <c r="V102" s="128"/>
      <c r="W102" s="128"/>
      <c r="X102" s="128">
        <f>X100*X101</f>
        <v>0</v>
      </c>
      <c r="Z102" s="135"/>
    </row>
    <row r="103" spans="2:26" s="92" customFormat="1">
      <c r="B103" s="124" t="s">
        <v>103</v>
      </c>
      <c r="C103" s="227"/>
      <c r="D103" s="227"/>
      <c r="E103" s="227"/>
      <c r="F103" s="228">
        <f>F102</f>
        <v>-5926.906048059991</v>
      </c>
      <c r="G103" s="227"/>
      <c r="H103" s="231">
        <f>H102</f>
        <v>11873.440434799326</v>
      </c>
      <c r="I103" s="227"/>
      <c r="J103" s="229">
        <f>F103+J102</f>
        <v>138850.19988149297</v>
      </c>
      <c r="K103" s="227"/>
      <c r="L103" s="231">
        <f>H103+L102</f>
        <v>267667.9360842515</v>
      </c>
      <c r="M103" s="227"/>
      <c r="N103" s="230">
        <f>J103+N102</f>
        <v>342136.01180949039</v>
      </c>
      <c r="O103" s="128"/>
      <c r="P103" s="129">
        <f>L103+P102</f>
        <v>365254.72345922783</v>
      </c>
      <c r="Q103" s="128"/>
      <c r="R103" s="128"/>
      <c r="S103" s="128"/>
      <c r="T103" s="128">
        <f>P103+T102</f>
        <v>365254.72345922783</v>
      </c>
      <c r="U103" s="128"/>
      <c r="V103" s="128"/>
      <c r="W103" s="128"/>
      <c r="X103" s="128">
        <f>T103+X102</f>
        <v>365254.72345922783</v>
      </c>
      <c r="Z103" s="135"/>
    </row>
    <row r="104" spans="2:26" s="92" customFormat="1" ht="14">
      <c r="B104" s="93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Z104" s="135"/>
    </row>
    <row r="105" spans="2:26" s="92" customFormat="1" ht="14">
      <c r="B105" s="93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Z105" s="135"/>
    </row>
    <row r="106" spans="2:26" s="92" customFormat="1">
      <c r="B106" s="93"/>
      <c r="C106" s="96"/>
      <c r="D106" s="96"/>
      <c r="E106" s="96"/>
      <c r="F106" s="96"/>
      <c r="G106" s="97"/>
      <c r="H106" s="98" t="s">
        <v>208</v>
      </c>
      <c r="I106" s="98" t="s">
        <v>209</v>
      </c>
      <c r="J106" s="98" t="s">
        <v>210</v>
      </c>
      <c r="K106" s="98">
        <v>3</v>
      </c>
      <c r="L106" s="98">
        <v>4</v>
      </c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Z106" s="135"/>
    </row>
    <row r="107" spans="2:26">
      <c r="G107" s="226" t="s">
        <v>142</v>
      </c>
      <c r="H107" s="226">
        <f>F100</f>
        <v>-7112.2872576719892</v>
      </c>
      <c r="I107" s="226">
        <f>J100</f>
        <v>173732.52711546354</v>
      </c>
      <c r="J107" s="226">
        <f>N100</f>
        <v>292731.56917631632</v>
      </c>
      <c r="K107" s="226"/>
      <c r="L107" s="226"/>
    </row>
    <row r="108" spans="2:26">
      <c r="G108" s="226" t="s">
        <v>103</v>
      </c>
      <c r="H108" s="226">
        <f>F103</f>
        <v>-5926.906048059991</v>
      </c>
      <c r="I108" s="226">
        <f>J103</f>
        <v>138850.19988149297</v>
      </c>
      <c r="J108" s="226">
        <f>N103</f>
        <v>342136.01180949039</v>
      </c>
      <c r="K108" s="226"/>
      <c r="L108" s="226"/>
    </row>
    <row r="109" spans="2:26">
      <c r="G109" s="99" t="s">
        <v>105</v>
      </c>
      <c r="H109" s="99"/>
      <c r="I109" s="99"/>
      <c r="J109" s="99">
        <f>IRR(C99:N99)</f>
        <v>0.6308627504341715</v>
      </c>
      <c r="K109" s="99"/>
      <c r="L109" s="99"/>
    </row>
    <row r="111" spans="2:26" ht="30" customHeight="1">
      <c r="B111" s="317"/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</row>
    <row r="145" spans="2:9" ht="16" thickBot="1"/>
    <row r="146" spans="2:9">
      <c r="B146" s="405" t="s">
        <v>488</v>
      </c>
      <c r="C146" s="406">
        <v>2019</v>
      </c>
      <c r="D146" s="406">
        <v>2020</v>
      </c>
      <c r="E146" s="406">
        <v>2021</v>
      </c>
      <c r="F146" s="406">
        <v>2022</v>
      </c>
      <c r="G146" s="407" t="s">
        <v>29</v>
      </c>
      <c r="H146" s="390"/>
      <c r="I146" s="390"/>
    </row>
    <row r="147" spans="2:9" ht="16" thickBot="1">
      <c r="B147" s="408"/>
      <c r="C147" s="409" t="s">
        <v>489</v>
      </c>
      <c r="D147" s="409" t="s">
        <v>489</v>
      </c>
      <c r="E147" s="409" t="s">
        <v>490</v>
      </c>
      <c r="F147" s="409" t="s">
        <v>490</v>
      </c>
      <c r="G147" s="410"/>
      <c r="H147" s="390"/>
      <c r="I147" s="390"/>
    </row>
    <row r="148" spans="2:9">
      <c r="B148" s="397" t="s">
        <v>491</v>
      </c>
      <c r="C148" s="398" t="s">
        <v>431</v>
      </c>
      <c r="D148" s="398">
        <v>0</v>
      </c>
      <c r="E148" s="403">
        <f>SUM(E149:E150)</f>
        <v>565800</v>
      </c>
      <c r="F148" s="403">
        <f>SUM(F149:F150)</f>
        <v>1074640</v>
      </c>
      <c r="G148" s="404">
        <f>SUM(E148:F148)</f>
        <v>1640440</v>
      </c>
      <c r="H148" s="391"/>
      <c r="I148" s="391"/>
    </row>
    <row r="149" spans="2:9">
      <c r="B149" s="394" t="s">
        <v>492</v>
      </c>
      <c r="C149" s="393" t="s">
        <v>431</v>
      </c>
      <c r="D149" s="393">
        <v>0</v>
      </c>
      <c r="E149" s="399">
        <f>SUM(E55:H55)</f>
        <v>495000</v>
      </c>
      <c r="F149" s="399">
        <f>SUM(I55:L55)</f>
        <v>850000</v>
      </c>
      <c r="G149" s="401">
        <f>SUM(E149:F149)</f>
        <v>1345000</v>
      </c>
      <c r="H149" s="392"/>
      <c r="I149" s="392"/>
    </row>
    <row r="150" spans="2:9" ht="16" thickBot="1">
      <c r="B150" s="395" t="s">
        <v>493</v>
      </c>
      <c r="C150" s="396" t="s">
        <v>431</v>
      </c>
      <c r="D150" s="396">
        <v>0</v>
      </c>
      <c r="E150" s="400">
        <f>SUM(E56:H56)</f>
        <v>70800</v>
      </c>
      <c r="F150" s="400">
        <f>SUM(I56:L56)</f>
        <v>224640</v>
      </c>
      <c r="G150" s="402">
        <f>SUM(E150:F150)</f>
        <v>295440</v>
      </c>
      <c r="H150" s="392"/>
      <c r="I150" s="392"/>
    </row>
    <row r="152" spans="2:9" ht="16" thickBot="1"/>
    <row r="153" spans="2:9">
      <c r="B153" s="412" t="s">
        <v>494</v>
      </c>
      <c r="C153" s="411">
        <v>2019</v>
      </c>
      <c r="D153" s="411">
        <v>2020</v>
      </c>
      <c r="E153" s="411">
        <v>2021</v>
      </c>
      <c r="F153" s="411">
        <v>2022</v>
      </c>
      <c r="G153" s="413" t="s">
        <v>29</v>
      </c>
    </row>
    <row r="154" spans="2:9" ht="16" thickBot="1">
      <c r="B154" s="414"/>
      <c r="C154" s="415" t="s">
        <v>489</v>
      </c>
      <c r="D154" s="415" t="s">
        <v>489</v>
      </c>
      <c r="E154" s="415" t="s">
        <v>490</v>
      </c>
      <c r="F154" s="415" t="s">
        <v>490</v>
      </c>
      <c r="G154" s="416"/>
    </row>
    <row r="155" spans="2:9">
      <c r="B155" s="419" t="s">
        <v>491</v>
      </c>
      <c r="C155" s="420" t="s">
        <v>431</v>
      </c>
      <c r="D155" s="420">
        <v>0</v>
      </c>
      <c r="E155" s="421">
        <v>565800</v>
      </c>
      <c r="F155" s="421">
        <v>1074640</v>
      </c>
      <c r="G155" s="422">
        <v>1640440</v>
      </c>
    </row>
    <row r="156" spans="2:9">
      <c r="B156" s="423" t="s">
        <v>495</v>
      </c>
      <c r="C156" s="417" t="s">
        <v>431</v>
      </c>
      <c r="D156" s="417">
        <v>0</v>
      </c>
      <c r="E156" s="418">
        <v>568800</v>
      </c>
      <c r="F156" s="418">
        <f>F155*0.7</f>
        <v>752248</v>
      </c>
      <c r="G156" s="424">
        <f>SUM(E156:F156)</f>
        <v>1321048</v>
      </c>
    </row>
    <row r="157" spans="2:9">
      <c r="B157" s="423" t="s">
        <v>496</v>
      </c>
      <c r="C157" s="417" t="s">
        <v>431</v>
      </c>
      <c r="D157" s="417">
        <v>0</v>
      </c>
      <c r="E157" s="418">
        <v>0</v>
      </c>
      <c r="F157" s="418">
        <f>F155*0.1</f>
        <v>107464</v>
      </c>
      <c r="G157" s="424">
        <f>SUM(E157:F157)</f>
        <v>107464</v>
      </c>
    </row>
    <row r="158" spans="2:9" ht="16" thickBot="1">
      <c r="B158" s="425" t="s">
        <v>497</v>
      </c>
      <c r="C158" s="426" t="s">
        <v>431</v>
      </c>
      <c r="D158" s="426">
        <v>0</v>
      </c>
      <c r="E158" s="427">
        <v>0</v>
      </c>
      <c r="F158" s="427">
        <f>F155*0.2</f>
        <v>214928</v>
      </c>
      <c r="G158" s="428">
        <f>SUM(E158:F158)</f>
        <v>214928</v>
      </c>
    </row>
    <row r="161" spans="1:6" ht="30" customHeight="1">
      <c r="A161" s="432" t="s">
        <v>498</v>
      </c>
      <c r="B161" s="432" t="s">
        <v>499</v>
      </c>
      <c r="C161" s="432" t="s">
        <v>500</v>
      </c>
      <c r="D161" s="432"/>
      <c r="E161" s="429"/>
      <c r="F161" s="429"/>
    </row>
    <row r="162" spans="1:6">
      <c r="A162" s="432"/>
      <c r="B162" s="432"/>
      <c r="C162" s="433" t="s">
        <v>501</v>
      </c>
      <c r="D162" s="433" t="s">
        <v>502</v>
      </c>
      <c r="E162" s="429"/>
      <c r="F162" s="429"/>
    </row>
    <row r="163" spans="1:6">
      <c r="A163" s="434">
        <v>1</v>
      </c>
      <c r="B163" s="434">
        <v>2</v>
      </c>
      <c r="C163" s="434">
        <v>3</v>
      </c>
      <c r="D163" s="434">
        <v>6</v>
      </c>
      <c r="E163" s="430"/>
      <c r="F163" s="430"/>
    </row>
    <row r="164" spans="1:6" ht="16">
      <c r="A164" s="435" t="s">
        <v>503</v>
      </c>
      <c r="B164" s="436" t="s">
        <v>504</v>
      </c>
      <c r="C164" s="441">
        <f>SUM(C61:D73)</f>
        <v>950</v>
      </c>
      <c r="D164" s="441">
        <f>C164</f>
        <v>950</v>
      </c>
      <c r="E164" s="431"/>
      <c r="F164" s="431"/>
    </row>
    <row r="165" spans="1:6" ht="16">
      <c r="A165" s="435" t="s">
        <v>505</v>
      </c>
      <c r="B165" s="436" t="s">
        <v>506</v>
      </c>
      <c r="C165" s="441">
        <f>C11+C33</f>
        <v>340.53659470000002</v>
      </c>
      <c r="D165" s="441">
        <f t="shared" ref="D165:D178" si="30">C165</f>
        <v>340.53659470000002</v>
      </c>
      <c r="E165" s="431"/>
      <c r="F165" s="431"/>
    </row>
    <row r="166" spans="1:6" ht="16">
      <c r="A166" s="435" t="s">
        <v>507</v>
      </c>
      <c r="B166" s="436" t="s">
        <v>508</v>
      </c>
      <c r="C166" s="441">
        <f>SUM(C9:D10)+SUM(C31:D32)</f>
        <v>1796.76</v>
      </c>
      <c r="D166" s="441">
        <f t="shared" si="30"/>
        <v>1796.76</v>
      </c>
      <c r="E166" s="431"/>
      <c r="F166" s="431"/>
    </row>
    <row r="167" spans="1:6" ht="16">
      <c r="A167" s="435" t="s">
        <v>509</v>
      </c>
      <c r="B167" s="436" t="s">
        <v>510</v>
      </c>
      <c r="C167" s="441">
        <f>SUM(C170:C177)</f>
        <v>1800.01006397935</v>
      </c>
      <c r="D167" s="441">
        <f t="shared" si="30"/>
        <v>1800.01006397935</v>
      </c>
      <c r="E167" s="431"/>
      <c r="F167" s="431"/>
    </row>
    <row r="168" spans="1:6" ht="16">
      <c r="A168" s="437"/>
      <c r="B168" s="438" t="s">
        <v>511</v>
      </c>
      <c r="C168" s="442"/>
      <c r="D168" s="441"/>
      <c r="E168" s="431"/>
      <c r="F168" s="431"/>
    </row>
    <row r="169" spans="1:6" ht="30">
      <c r="A169" s="437" t="s">
        <v>512</v>
      </c>
      <c r="B169" s="438" t="s">
        <v>513</v>
      </c>
      <c r="C169" s="441">
        <f>C170+C171</f>
        <v>1380</v>
      </c>
      <c r="D169" s="441">
        <f t="shared" si="30"/>
        <v>1380</v>
      </c>
      <c r="E169" s="431"/>
      <c r="F169" s="431"/>
    </row>
    <row r="170" spans="1:6" ht="30">
      <c r="A170" s="439">
        <v>36895</v>
      </c>
      <c r="B170" s="438" t="s">
        <v>518</v>
      </c>
      <c r="C170" s="441">
        <f>D12</f>
        <v>420</v>
      </c>
      <c r="D170" s="441">
        <f t="shared" si="30"/>
        <v>420</v>
      </c>
      <c r="E170" s="431"/>
      <c r="F170" s="431"/>
    </row>
    <row r="171" spans="1:6" ht="30">
      <c r="A171" s="439"/>
      <c r="B171" s="438" t="s">
        <v>519</v>
      </c>
      <c r="C171" s="441">
        <f>C34</f>
        <v>960</v>
      </c>
      <c r="D171" s="441">
        <f t="shared" si="30"/>
        <v>960</v>
      </c>
      <c r="E171" s="431"/>
      <c r="F171" s="431"/>
    </row>
    <row r="172" spans="1:6" ht="16">
      <c r="A172" s="437" t="s">
        <v>514</v>
      </c>
      <c r="B172" s="438" t="s">
        <v>515</v>
      </c>
      <c r="C172" s="441">
        <f>C14+D14+C36+D36</f>
        <v>180</v>
      </c>
      <c r="D172" s="441">
        <f t="shared" si="30"/>
        <v>180</v>
      </c>
      <c r="E172" s="431"/>
      <c r="F172" s="431"/>
    </row>
    <row r="173" spans="1:6" ht="16">
      <c r="A173" s="437" t="s">
        <v>516</v>
      </c>
      <c r="B173" s="442" t="s">
        <v>520</v>
      </c>
      <c r="C173" s="441">
        <f>C19+D19</f>
        <v>140</v>
      </c>
      <c r="D173" s="441">
        <f t="shared" si="30"/>
        <v>140</v>
      </c>
      <c r="E173" s="431"/>
      <c r="F173" s="431"/>
    </row>
    <row r="174" spans="1:6" ht="16">
      <c r="A174" s="443">
        <v>43925</v>
      </c>
      <c r="B174" s="442" t="s">
        <v>521</v>
      </c>
      <c r="C174" s="441">
        <f>C18+D18+C40+D40</f>
        <v>24</v>
      </c>
      <c r="D174" s="441">
        <f t="shared" si="30"/>
        <v>24</v>
      </c>
      <c r="E174" s="431"/>
      <c r="F174" s="431"/>
    </row>
    <row r="175" spans="1:6" ht="30">
      <c r="A175" s="443">
        <v>43955</v>
      </c>
      <c r="B175" s="442" t="s">
        <v>522</v>
      </c>
      <c r="C175" s="441">
        <f>C17+D17+C39+D39</f>
        <v>20</v>
      </c>
      <c r="D175" s="441">
        <f t="shared" si="30"/>
        <v>20</v>
      </c>
      <c r="E175" s="431"/>
      <c r="F175" s="431"/>
    </row>
    <row r="176" spans="1:6" ht="16">
      <c r="A176" s="443">
        <v>43986</v>
      </c>
      <c r="B176" s="442" t="s">
        <v>523</v>
      </c>
      <c r="C176" s="441">
        <f>C22</f>
        <v>17.026829735000003</v>
      </c>
      <c r="D176" s="441">
        <f t="shared" si="30"/>
        <v>17.026829735000003</v>
      </c>
      <c r="E176" s="431"/>
      <c r="F176" s="431"/>
    </row>
    <row r="177" spans="1:6" ht="16">
      <c r="A177" s="443">
        <v>44016</v>
      </c>
      <c r="B177" s="442" t="s">
        <v>524</v>
      </c>
      <c r="C177" s="441">
        <f>C25+D25+C46+D46</f>
        <v>38.983234244349994</v>
      </c>
      <c r="D177" s="441">
        <f t="shared" si="30"/>
        <v>38.983234244349994</v>
      </c>
      <c r="E177" s="431"/>
      <c r="F177" s="431"/>
    </row>
    <row r="178" spans="1:6" ht="16">
      <c r="A178" s="440" t="s">
        <v>517</v>
      </c>
      <c r="B178" s="440"/>
      <c r="C178" s="441">
        <f>SUM(C164:C167)</f>
        <v>4887.3066586793502</v>
      </c>
      <c r="D178" s="441">
        <f t="shared" si="30"/>
        <v>4887.3066586793502</v>
      </c>
      <c r="E178" s="431"/>
      <c r="F178" s="431"/>
    </row>
  </sheetData>
  <mergeCells count="26">
    <mergeCell ref="A161:A162"/>
    <mergeCell ref="B161:B162"/>
    <mergeCell ref="A178:B178"/>
    <mergeCell ref="C161:D161"/>
    <mergeCell ref="B146:B147"/>
    <mergeCell ref="G146:G147"/>
    <mergeCell ref="H146:H147"/>
    <mergeCell ref="I146:I147"/>
    <mergeCell ref="B153:B154"/>
    <mergeCell ref="G153:G154"/>
    <mergeCell ref="B111:N111"/>
    <mergeCell ref="A78:A91"/>
    <mergeCell ref="A92:B92"/>
    <mergeCell ref="A93:B93"/>
    <mergeCell ref="M3:N3"/>
    <mergeCell ref="A3:B3"/>
    <mergeCell ref="C3:D3"/>
    <mergeCell ref="E3:F3"/>
    <mergeCell ref="G3:H3"/>
    <mergeCell ref="I3:J3"/>
    <mergeCell ref="K3:L3"/>
    <mergeCell ref="C5:X5"/>
    <mergeCell ref="B5:B6"/>
    <mergeCell ref="A5:A6"/>
    <mergeCell ref="A7:A58"/>
    <mergeCell ref="A59:A77"/>
  </mergeCells>
  <pageMargins left="0.7" right="0.7" top="0.75" bottom="0.75" header="0.3" footer="0.3"/>
  <ignoredErrors>
    <ignoredError sqref="D11:F11 N11 H11:M11" formulaRange="1"/>
    <ignoredError sqref="I24:K24 M24 E9 I9 M9" formula="1"/>
  </ignoredErrors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3091-8744-FE44-8001-97E3B6014C7E}">
  <sheetPr>
    <tabColor rgb="FF00B050"/>
  </sheetPr>
  <dimension ref="B1:D53"/>
  <sheetViews>
    <sheetView zoomScale="113" zoomScaleNormal="113" workbookViewId="0">
      <selection activeCell="F49" sqref="F49"/>
    </sheetView>
  </sheetViews>
  <sheetFormatPr baseColWidth="10" defaultRowHeight="15"/>
  <cols>
    <col min="1" max="1" width="10.83203125" style="80"/>
    <col min="2" max="2" width="43.6640625" style="245" customWidth="1"/>
    <col min="3" max="3" width="10" style="246" customWidth="1"/>
    <col min="4" max="4" width="12.83203125" style="247" customWidth="1"/>
    <col min="5" max="16384" width="10.83203125" style="80"/>
  </cols>
  <sheetData>
    <row r="1" spans="2:4" ht="32" customHeight="1">
      <c r="B1" s="325" t="s">
        <v>275</v>
      </c>
      <c r="C1" s="325"/>
      <c r="D1" s="325"/>
    </row>
    <row r="3" spans="2:4" ht="16">
      <c r="B3" s="248" t="s">
        <v>212</v>
      </c>
      <c r="C3" s="249" t="s">
        <v>252</v>
      </c>
      <c r="D3" s="249" t="s">
        <v>213</v>
      </c>
    </row>
    <row r="4" spans="2:4" ht="16">
      <c r="B4" s="250" t="s">
        <v>276</v>
      </c>
      <c r="C4" s="251" t="s">
        <v>254</v>
      </c>
      <c r="D4" s="252">
        <f>'Ден поток'!Z58</f>
        <v>2200280</v>
      </c>
    </row>
    <row r="5" spans="2:4" ht="16">
      <c r="B5" s="250" t="s">
        <v>277</v>
      </c>
      <c r="C5" s="251" t="s">
        <v>253</v>
      </c>
      <c r="D5" s="252">
        <f>SUM('Ден поток'!Z9,'Ден поток'!Z11:Z25,'Ден поток'!Z31,'Ден поток'!Z33:Z46,'Ден поток'!Z60:Z65,'Ден поток'!Z69:Z73,'Ден поток'!Z79:Z83)</f>
        <v>1386301.2762968007</v>
      </c>
    </row>
    <row r="6" spans="2:4" ht="16">
      <c r="B6" s="250" t="s">
        <v>278</v>
      </c>
      <c r="C6" s="251" t="s">
        <v>255</v>
      </c>
      <c r="D6" s="252">
        <f>D4-D5</f>
        <v>813978.7237031993</v>
      </c>
    </row>
    <row r="7" spans="2:4" ht="16">
      <c r="B7" s="250" t="s">
        <v>279</v>
      </c>
      <c r="C7" s="251"/>
      <c r="D7" s="252">
        <f>SUM('Ден поток'!Z10,'Ден поток'!Z26,'Ден поток'!Z32,'Ден поток'!Z47)</f>
        <v>167295.46887743493</v>
      </c>
    </row>
    <row r="8" spans="2:4" ht="16">
      <c r="B8" s="250" t="s">
        <v>280</v>
      </c>
      <c r="C8" s="251" t="s">
        <v>13</v>
      </c>
      <c r="D8" s="252">
        <f>D6-D7</f>
        <v>646683.25482576434</v>
      </c>
    </row>
    <row r="9" spans="2:4" ht="16">
      <c r="B9" s="250" t="s">
        <v>256</v>
      </c>
      <c r="C9" s="251" t="s">
        <v>96</v>
      </c>
      <c r="D9" s="253">
        <f>D8/D5*100</f>
        <v>46.648103545950462</v>
      </c>
    </row>
    <row r="10" spans="2:4">
      <c r="C10" s="254"/>
      <c r="D10" s="255"/>
    </row>
    <row r="11" spans="2:4" ht="32" customHeight="1">
      <c r="B11" s="325" t="s">
        <v>257</v>
      </c>
      <c r="C11" s="325"/>
      <c r="D11" s="325"/>
    </row>
    <row r="12" spans="2:4" ht="16">
      <c r="B12" s="248" t="s">
        <v>212</v>
      </c>
      <c r="C12" s="249" t="s">
        <v>252</v>
      </c>
      <c r="D12" s="249" t="s">
        <v>213</v>
      </c>
    </row>
    <row r="13" spans="2:4" ht="16">
      <c r="B13" s="250" t="s">
        <v>261</v>
      </c>
      <c r="C13" s="251" t="s">
        <v>113</v>
      </c>
      <c r="D13" s="256">
        <f>'Ден поток'!AC75</f>
        <v>0.19999999999999998</v>
      </c>
    </row>
    <row r="14" spans="2:4" ht="16">
      <c r="B14" s="257" t="s">
        <v>258</v>
      </c>
      <c r="C14" s="251" t="s">
        <v>115</v>
      </c>
      <c r="D14" s="256">
        <f>'Ден поток'!AC76</f>
        <v>0.06</v>
      </c>
    </row>
    <row r="15" spans="2:4" ht="16">
      <c r="B15" s="257" t="s">
        <v>259</v>
      </c>
      <c r="C15" s="251" t="s">
        <v>117</v>
      </c>
      <c r="D15" s="256">
        <f>'Ден поток'!AC77</f>
        <v>0.11</v>
      </c>
    </row>
    <row r="16" spans="2:4" ht="16">
      <c r="B16" s="257" t="s">
        <v>260</v>
      </c>
      <c r="C16" s="251" t="s">
        <v>120</v>
      </c>
      <c r="D16" s="256">
        <f>'Ден поток'!AC78</f>
        <v>0.03</v>
      </c>
    </row>
    <row r="17" spans="2:4" ht="16">
      <c r="B17" s="250" t="s">
        <v>124</v>
      </c>
      <c r="C17" s="251" t="s">
        <v>123</v>
      </c>
      <c r="D17" s="258">
        <f>'Ден поток'!AC80</f>
        <v>284125525.49989867</v>
      </c>
    </row>
    <row r="18" spans="2:4" ht="16">
      <c r="B18" s="250" t="s">
        <v>267</v>
      </c>
      <c r="C18" s="251" t="s">
        <v>125</v>
      </c>
      <c r="D18" s="253">
        <f>'Ден поток'!AC81</f>
        <v>2.0170282605356014</v>
      </c>
    </row>
    <row r="19" spans="2:4" ht="16">
      <c r="B19" s="250" t="s">
        <v>127</v>
      </c>
      <c r="C19" s="251" t="s">
        <v>105</v>
      </c>
      <c r="D19" s="256">
        <f>'Ден поток'!AC82</f>
        <v>0.6308627504341715</v>
      </c>
    </row>
    <row r="20" spans="2:4" ht="31">
      <c r="B20" s="250" t="s">
        <v>262</v>
      </c>
      <c r="C20" s="251" t="s">
        <v>97</v>
      </c>
      <c r="D20" s="256">
        <f>'Ден поток'!AC83</f>
        <v>6.6746132590106448</v>
      </c>
    </row>
    <row r="21" spans="2:4" ht="16">
      <c r="B21" s="259" t="s">
        <v>264</v>
      </c>
      <c r="C21" s="251"/>
      <c r="D21" s="260"/>
    </row>
    <row r="22" spans="2:4" ht="16">
      <c r="B22" s="250" t="s">
        <v>263</v>
      </c>
      <c r="C22" s="251" t="s">
        <v>103</v>
      </c>
      <c r="D22" s="252">
        <f>SUM('Ден поток'!Z86:Z91)*1000</f>
        <v>96887000</v>
      </c>
    </row>
    <row r="23" spans="2:4" ht="16">
      <c r="B23" s="250" t="s">
        <v>265</v>
      </c>
      <c r="C23" s="251"/>
      <c r="D23" s="261">
        <v>0.4</v>
      </c>
    </row>
    <row r="24" spans="2:4" ht="16">
      <c r="B24" s="250" t="s">
        <v>266</v>
      </c>
      <c r="C24" s="251" t="s">
        <v>106</v>
      </c>
      <c r="D24" s="260">
        <v>5</v>
      </c>
    </row>
    <row r="25" spans="2:4" ht="16">
      <c r="B25" s="250" t="s">
        <v>110</v>
      </c>
      <c r="C25" s="251" t="s">
        <v>109</v>
      </c>
      <c r="D25" s="260">
        <v>2</v>
      </c>
    </row>
    <row r="29" spans="2:4" ht="16">
      <c r="B29" s="325" t="s">
        <v>275</v>
      </c>
      <c r="C29" s="325"/>
      <c r="D29" s="325"/>
    </row>
    <row r="31" spans="2:4" ht="16">
      <c r="B31" s="248" t="s">
        <v>300</v>
      </c>
      <c r="C31" s="249" t="s">
        <v>301</v>
      </c>
      <c r="D31" s="249" t="s">
        <v>302</v>
      </c>
    </row>
    <row r="32" spans="2:4" ht="16">
      <c r="B32" s="250" t="s">
        <v>303</v>
      </c>
      <c r="C32" s="251" t="s">
        <v>254</v>
      </c>
      <c r="D32" s="252">
        <f>D4</f>
        <v>2200280</v>
      </c>
    </row>
    <row r="33" spans="2:4" ht="16">
      <c r="B33" s="250" t="s">
        <v>305</v>
      </c>
      <c r="C33" s="251" t="s">
        <v>253</v>
      </c>
      <c r="D33" s="252">
        <f t="shared" ref="D33:D36" si="0">D5</f>
        <v>1386301.2762968007</v>
      </c>
    </row>
    <row r="34" spans="2:4" ht="16">
      <c r="B34" s="250" t="s">
        <v>306</v>
      </c>
      <c r="C34" s="251" t="s">
        <v>255</v>
      </c>
      <c r="D34" s="252">
        <f t="shared" si="0"/>
        <v>813978.7237031993</v>
      </c>
    </row>
    <row r="35" spans="2:4" ht="16">
      <c r="B35" s="250" t="s">
        <v>307</v>
      </c>
      <c r="C35" s="251"/>
      <c r="D35" s="252">
        <f t="shared" si="0"/>
        <v>167295.46887743493</v>
      </c>
    </row>
    <row r="36" spans="2:4" ht="16">
      <c r="B36" s="250" t="s">
        <v>308</v>
      </c>
      <c r="C36" s="251" t="s">
        <v>13</v>
      </c>
      <c r="D36" s="252">
        <f t="shared" si="0"/>
        <v>646683.25482576434</v>
      </c>
    </row>
    <row r="37" spans="2:4" ht="16">
      <c r="B37" s="250" t="s">
        <v>304</v>
      </c>
      <c r="C37" s="251" t="s">
        <v>96</v>
      </c>
      <c r="D37" s="253">
        <f>D9</f>
        <v>46.648103545950462</v>
      </c>
    </row>
    <row r="38" spans="2:4">
      <c r="C38" s="254"/>
      <c r="D38" s="255"/>
    </row>
    <row r="39" spans="2:4" ht="16">
      <c r="B39" s="325" t="s">
        <v>309</v>
      </c>
      <c r="C39" s="325"/>
      <c r="D39" s="325"/>
    </row>
    <row r="40" spans="2:4" ht="16">
      <c r="B40" s="248" t="s">
        <v>300</v>
      </c>
      <c r="C40" s="249" t="s">
        <v>301</v>
      </c>
      <c r="D40" s="249" t="s">
        <v>302</v>
      </c>
    </row>
    <row r="41" spans="2:4" ht="16">
      <c r="B41" s="250" t="s">
        <v>310</v>
      </c>
      <c r="C41" s="251" t="s">
        <v>113</v>
      </c>
      <c r="D41" s="256">
        <f>D13</f>
        <v>0.19999999999999998</v>
      </c>
    </row>
    <row r="42" spans="2:4" ht="16">
      <c r="B42" s="257" t="s">
        <v>311</v>
      </c>
      <c r="C42" s="251" t="s">
        <v>115</v>
      </c>
      <c r="D42" s="256">
        <f t="shared" ref="D42:D44" si="1">D14</f>
        <v>0.06</v>
      </c>
    </row>
    <row r="43" spans="2:4" ht="16">
      <c r="B43" s="257" t="s">
        <v>312</v>
      </c>
      <c r="C43" s="251" t="s">
        <v>117</v>
      </c>
      <c r="D43" s="256">
        <f t="shared" si="1"/>
        <v>0.11</v>
      </c>
    </row>
    <row r="44" spans="2:4" ht="16">
      <c r="B44" s="257" t="s">
        <v>313</v>
      </c>
      <c r="C44" s="251" t="s">
        <v>120</v>
      </c>
      <c r="D44" s="256">
        <f t="shared" si="1"/>
        <v>0.03</v>
      </c>
    </row>
    <row r="45" spans="2:4" ht="16">
      <c r="B45" s="250" t="s">
        <v>314</v>
      </c>
      <c r="C45" s="251" t="s">
        <v>123</v>
      </c>
      <c r="D45" s="258">
        <f>D17</f>
        <v>284125525.49989867</v>
      </c>
    </row>
    <row r="46" spans="2:4" ht="16">
      <c r="B46" s="250" t="s">
        <v>315</v>
      </c>
      <c r="C46" s="251" t="s">
        <v>125</v>
      </c>
      <c r="D46" s="253">
        <f>D18</f>
        <v>2.0170282605356014</v>
      </c>
    </row>
    <row r="47" spans="2:4" ht="16">
      <c r="B47" s="250" t="s">
        <v>316</v>
      </c>
      <c r="C47" s="251" t="s">
        <v>105</v>
      </c>
      <c r="D47" s="256">
        <f>D19</f>
        <v>0.6308627504341715</v>
      </c>
    </row>
    <row r="48" spans="2:4" ht="16">
      <c r="B48" s="250" t="s">
        <v>317</v>
      </c>
      <c r="C48" s="251" t="s">
        <v>97</v>
      </c>
      <c r="D48" s="256">
        <f>D20</f>
        <v>6.6746132590106448</v>
      </c>
    </row>
    <row r="49" spans="2:4" ht="16">
      <c r="B49" s="259" t="s">
        <v>318</v>
      </c>
      <c r="C49" s="251"/>
      <c r="D49" s="260"/>
    </row>
    <row r="50" spans="2:4" ht="16">
      <c r="B50" s="250" t="s">
        <v>319</v>
      </c>
      <c r="C50" s="251" t="s">
        <v>103</v>
      </c>
      <c r="D50" s="252">
        <f>D22</f>
        <v>96887000</v>
      </c>
    </row>
    <row r="51" spans="2:4" ht="16">
      <c r="B51" s="250" t="s">
        <v>320</v>
      </c>
      <c r="C51" s="251"/>
      <c r="D51" s="261">
        <v>0.4</v>
      </c>
    </row>
    <row r="52" spans="2:4" ht="16">
      <c r="B52" s="250" t="s">
        <v>321</v>
      </c>
      <c r="C52" s="251" t="s">
        <v>106</v>
      </c>
      <c r="D52" s="260">
        <v>5</v>
      </c>
    </row>
    <row r="53" spans="2:4" ht="16">
      <c r="B53" s="250" t="s">
        <v>322</v>
      </c>
      <c r="C53" s="251" t="s">
        <v>109</v>
      </c>
      <c r="D53" s="260">
        <v>2</v>
      </c>
    </row>
  </sheetData>
  <mergeCells count="4">
    <mergeCell ref="B11:D11"/>
    <mergeCell ref="B1:D1"/>
    <mergeCell ref="B29:D29"/>
    <mergeCell ref="B39:D39"/>
  </mergeCells>
  <pageMargins left="0.7" right="0.7" top="0.75" bottom="0.75" header="0.3" footer="0.3"/>
  <ignoredErrors>
    <ignoredError sqref="D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7CCD-1D50-DD43-BBA8-C66952323F7F}">
  <sheetPr>
    <tabColor theme="8" tint="-0.249977111117893"/>
  </sheetPr>
  <dimension ref="A1:M15"/>
  <sheetViews>
    <sheetView workbookViewId="0">
      <selection activeCell="E25" sqref="E25"/>
    </sheetView>
  </sheetViews>
  <sheetFormatPr baseColWidth="10" defaultRowHeight="15"/>
  <cols>
    <col min="1" max="1" width="58.5" customWidth="1"/>
    <col min="2" max="2" width="15.1640625" customWidth="1"/>
  </cols>
  <sheetData>
    <row r="1" spans="1:13">
      <c r="A1" t="s">
        <v>64</v>
      </c>
    </row>
    <row r="3" spans="1:13">
      <c r="A3" s="43" t="s">
        <v>40</v>
      </c>
      <c r="B3" s="43" t="s">
        <v>71</v>
      </c>
      <c r="C3" s="71">
        <v>2</v>
      </c>
      <c r="D3" s="71">
        <v>3</v>
      </c>
      <c r="E3" s="71">
        <v>4</v>
      </c>
      <c r="F3" s="71">
        <v>5</v>
      </c>
      <c r="G3" s="71">
        <v>6</v>
      </c>
      <c r="H3" s="71">
        <v>7</v>
      </c>
      <c r="I3" s="71">
        <v>8</v>
      </c>
      <c r="J3" s="71">
        <v>9</v>
      </c>
      <c r="K3" s="71">
        <v>10</v>
      </c>
      <c r="L3" s="71">
        <v>11</v>
      </c>
      <c r="M3" s="71">
        <v>12</v>
      </c>
    </row>
    <row r="4" spans="1:13">
      <c r="A4" s="43" t="s">
        <v>273</v>
      </c>
      <c r="B4" s="43">
        <v>60000</v>
      </c>
      <c r="C4" s="71">
        <v>60000</v>
      </c>
      <c r="D4" s="71">
        <v>60000</v>
      </c>
      <c r="E4" s="71">
        <v>60000</v>
      </c>
      <c r="F4" s="71">
        <v>60000</v>
      </c>
      <c r="G4" s="71">
        <v>60000</v>
      </c>
      <c r="H4" s="71">
        <v>60000</v>
      </c>
      <c r="I4" s="71">
        <v>60000</v>
      </c>
      <c r="J4" s="71">
        <v>60000</v>
      </c>
      <c r="K4" s="71">
        <v>60000</v>
      </c>
      <c r="L4" s="71">
        <v>60000</v>
      </c>
      <c r="M4" s="71">
        <v>60000</v>
      </c>
    </row>
    <row r="5" spans="1:13">
      <c r="A5" s="43" t="s">
        <v>483</v>
      </c>
      <c r="B5" s="43">
        <v>60000</v>
      </c>
      <c r="C5" s="71">
        <v>60000</v>
      </c>
      <c r="D5" s="71">
        <v>60000</v>
      </c>
      <c r="E5" s="71">
        <v>60000</v>
      </c>
      <c r="F5" s="71">
        <v>60000</v>
      </c>
      <c r="G5" s="71">
        <v>60000</v>
      </c>
      <c r="H5" s="71">
        <v>60000</v>
      </c>
      <c r="I5" s="71">
        <v>60000</v>
      </c>
      <c r="J5" s="71">
        <v>60000</v>
      </c>
      <c r="K5" s="71">
        <v>60000</v>
      </c>
      <c r="L5" s="71">
        <v>60000</v>
      </c>
      <c r="M5" s="71">
        <v>60000</v>
      </c>
    </row>
    <row r="6" spans="1:13">
      <c r="A6" s="43" t="s">
        <v>272</v>
      </c>
      <c r="B6" s="43">
        <v>100000</v>
      </c>
      <c r="C6" s="71">
        <v>100000</v>
      </c>
      <c r="D6" s="71">
        <v>100000</v>
      </c>
      <c r="E6" s="71">
        <v>100000</v>
      </c>
      <c r="F6" s="71">
        <v>100000</v>
      </c>
      <c r="G6" s="71">
        <v>100000</v>
      </c>
      <c r="H6" s="71">
        <v>100000</v>
      </c>
      <c r="I6" s="71">
        <v>100000</v>
      </c>
      <c r="J6" s="71">
        <v>100000</v>
      </c>
      <c r="K6" s="71">
        <v>100000</v>
      </c>
      <c r="L6" s="71">
        <v>100000</v>
      </c>
      <c r="M6" s="71">
        <v>100000</v>
      </c>
    </row>
    <row r="7" spans="1:13">
      <c r="A7" s="43" t="s">
        <v>65</v>
      </c>
      <c r="B7" s="43">
        <v>30000</v>
      </c>
      <c r="C7" s="71">
        <v>30000</v>
      </c>
      <c r="D7" s="71">
        <v>30000</v>
      </c>
      <c r="E7" s="71">
        <v>30000</v>
      </c>
      <c r="F7" s="71">
        <v>30000</v>
      </c>
      <c r="G7" s="71">
        <v>30000</v>
      </c>
      <c r="H7" s="71">
        <v>30000</v>
      </c>
      <c r="I7" s="71">
        <v>30000</v>
      </c>
      <c r="J7" s="71">
        <v>30000</v>
      </c>
      <c r="K7" s="71">
        <v>30000</v>
      </c>
      <c r="L7" s="71">
        <v>30000</v>
      </c>
      <c r="M7" s="71">
        <v>30000</v>
      </c>
    </row>
    <row r="8" spans="1:13">
      <c r="A8" s="43" t="s">
        <v>66</v>
      </c>
      <c r="B8" s="43">
        <v>40000</v>
      </c>
      <c r="C8" s="71">
        <v>40000</v>
      </c>
      <c r="D8" s="71">
        <v>40000</v>
      </c>
      <c r="E8" s="71">
        <v>40000</v>
      </c>
      <c r="F8" s="71">
        <v>40000</v>
      </c>
      <c r="G8" s="71">
        <v>40000</v>
      </c>
      <c r="H8" s="71">
        <v>40000</v>
      </c>
      <c r="I8" s="71">
        <v>40000</v>
      </c>
      <c r="J8" s="71">
        <v>40000</v>
      </c>
      <c r="K8" s="71">
        <v>40000</v>
      </c>
      <c r="L8" s="71">
        <v>40000</v>
      </c>
      <c r="M8" s="71">
        <v>40000</v>
      </c>
    </row>
    <row r="9" spans="1:13">
      <c r="A9" s="43" t="s">
        <v>274</v>
      </c>
      <c r="B9" s="43">
        <v>100000</v>
      </c>
      <c r="C9" s="71">
        <v>100000</v>
      </c>
      <c r="D9" s="71">
        <v>100000</v>
      </c>
      <c r="E9" s="71">
        <v>100000</v>
      </c>
      <c r="F9" s="71">
        <v>100000</v>
      </c>
      <c r="G9" s="71">
        <v>100000</v>
      </c>
      <c r="H9" s="71">
        <v>100000</v>
      </c>
      <c r="I9" s="71">
        <v>100000</v>
      </c>
      <c r="J9" s="71">
        <v>100000</v>
      </c>
      <c r="K9" s="71">
        <v>100000</v>
      </c>
      <c r="L9" s="71">
        <v>100000</v>
      </c>
      <c r="M9" s="71">
        <v>100000</v>
      </c>
    </row>
    <row r="10" spans="1:13">
      <c r="A10" s="43" t="s">
        <v>487</v>
      </c>
      <c r="B10" s="43">
        <v>50000</v>
      </c>
      <c r="C10" s="71">
        <v>50000</v>
      </c>
      <c r="D10" s="71">
        <v>50000</v>
      </c>
      <c r="E10" s="71">
        <v>50000</v>
      </c>
      <c r="F10" s="71">
        <v>50000</v>
      </c>
      <c r="G10" s="71">
        <v>50000</v>
      </c>
      <c r="H10" s="71">
        <v>50000</v>
      </c>
      <c r="I10" s="71">
        <v>50000</v>
      </c>
      <c r="J10" s="71">
        <v>50000</v>
      </c>
      <c r="K10" s="71">
        <v>50000</v>
      </c>
      <c r="L10" s="71">
        <v>50000</v>
      </c>
      <c r="M10" s="71">
        <v>50000</v>
      </c>
    </row>
    <row r="11" spans="1:13">
      <c r="A11" s="43" t="s">
        <v>67</v>
      </c>
      <c r="B11" s="43">
        <v>30000</v>
      </c>
      <c r="C11" s="71">
        <v>30000</v>
      </c>
      <c r="D11" s="71">
        <v>30000</v>
      </c>
      <c r="E11" s="71">
        <v>30000</v>
      </c>
      <c r="F11" s="71">
        <v>30000</v>
      </c>
      <c r="G11" s="71">
        <v>30000</v>
      </c>
      <c r="H11" s="71">
        <v>30000</v>
      </c>
      <c r="I11" s="71">
        <v>30000</v>
      </c>
      <c r="J11" s="71">
        <v>30000</v>
      </c>
      <c r="K11" s="71">
        <v>30000</v>
      </c>
      <c r="L11" s="71">
        <v>30000</v>
      </c>
      <c r="M11" s="71">
        <v>30000</v>
      </c>
    </row>
    <row r="12" spans="1:13">
      <c r="A12" s="43" t="s">
        <v>68</v>
      </c>
      <c r="B12" s="43">
        <v>30000</v>
      </c>
      <c r="C12" s="71">
        <v>30000</v>
      </c>
      <c r="D12" s="71">
        <v>30000</v>
      </c>
      <c r="E12" s="71">
        <v>30000</v>
      </c>
      <c r="F12" s="71">
        <v>30000</v>
      </c>
      <c r="G12" s="71">
        <v>30000</v>
      </c>
      <c r="H12" s="71">
        <v>30000</v>
      </c>
      <c r="I12" s="71">
        <v>30000</v>
      </c>
      <c r="J12" s="71">
        <v>30000</v>
      </c>
      <c r="K12" s="71">
        <v>30000</v>
      </c>
      <c r="L12" s="71">
        <v>30000</v>
      </c>
      <c r="M12" s="71">
        <v>30000</v>
      </c>
    </row>
    <row r="13" spans="1:13">
      <c r="A13" s="43" t="s">
        <v>73</v>
      </c>
      <c r="B13" s="43">
        <v>50000</v>
      </c>
      <c r="C13" s="71">
        <v>50000</v>
      </c>
      <c r="D13" s="71">
        <v>50000</v>
      </c>
      <c r="E13" s="71">
        <v>50000</v>
      </c>
      <c r="F13" s="71">
        <v>50000</v>
      </c>
      <c r="G13" s="71">
        <v>50000</v>
      </c>
      <c r="H13" s="71">
        <v>50000</v>
      </c>
      <c r="I13" s="71">
        <v>50000</v>
      </c>
      <c r="J13" s="71">
        <v>50000</v>
      </c>
      <c r="K13" s="71">
        <v>50000</v>
      </c>
      <c r="L13" s="71">
        <v>50000</v>
      </c>
      <c r="M13" s="71">
        <v>50000</v>
      </c>
    </row>
    <row r="14" spans="1:13">
      <c r="A14" s="43" t="s">
        <v>69</v>
      </c>
      <c r="B14" s="43">
        <v>30000</v>
      </c>
      <c r="C14" s="71">
        <v>30000</v>
      </c>
      <c r="D14" s="71">
        <v>30000</v>
      </c>
      <c r="E14" s="71">
        <v>30000</v>
      </c>
      <c r="F14" s="71">
        <v>30000</v>
      </c>
      <c r="G14" s="71">
        <v>30000</v>
      </c>
      <c r="H14" s="71">
        <v>30000</v>
      </c>
      <c r="I14" s="71">
        <v>30000</v>
      </c>
      <c r="J14" s="71">
        <v>30000</v>
      </c>
      <c r="K14" s="71">
        <v>30000</v>
      </c>
      <c r="L14" s="71">
        <v>30000</v>
      </c>
      <c r="M14" s="71">
        <v>30000</v>
      </c>
    </row>
    <row r="15" spans="1:13">
      <c r="A15" s="63" t="s">
        <v>76</v>
      </c>
      <c r="B15" s="43">
        <v>30000</v>
      </c>
      <c r="C15" s="71">
        <v>30000</v>
      </c>
      <c r="D15" s="71">
        <v>30000</v>
      </c>
      <c r="E15" s="71">
        <v>30000</v>
      </c>
      <c r="F15" s="71">
        <v>30000</v>
      </c>
      <c r="G15" s="71">
        <v>30000</v>
      </c>
      <c r="H15" s="71">
        <v>30000</v>
      </c>
      <c r="I15" s="71">
        <v>30000</v>
      </c>
      <c r="J15" s="71">
        <v>30000</v>
      </c>
      <c r="K15" s="71">
        <v>30000</v>
      </c>
      <c r="L15" s="71">
        <v>30000</v>
      </c>
      <c r="M15" s="71">
        <v>30000</v>
      </c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P36"/>
  <sheetViews>
    <sheetView showGridLines="0" zoomScale="112" zoomScaleNormal="112" zoomScalePageLayoutView="112" workbookViewId="0"/>
  </sheetViews>
  <sheetFormatPr baseColWidth="10" defaultColWidth="8.83203125" defaultRowHeight="15"/>
  <cols>
    <col min="1" max="1" width="8.6640625" customWidth="1"/>
    <col min="2" max="2" width="23.5" customWidth="1"/>
    <col min="3" max="3" width="15.5" customWidth="1"/>
    <col min="4" max="4" width="10.5" customWidth="1"/>
    <col min="5" max="5" width="12.33203125" customWidth="1"/>
    <col min="7" max="7" width="10" customWidth="1"/>
    <col min="8" max="8" width="13" customWidth="1"/>
    <col min="9" max="9" width="10.6640625" customWidth="1"/>
    <col min="12" max="13" width="13.5" customWidth="1"/>
    <col min="14" max="14" width="14.5" customWidth="1"/>
    <col min="15" max="15" width="4.1640625" customWidth="1"/>
    <col min="16" max="16" width="103" customWidth="1"/>
  </cols>
  <sheetData>
    <row r="1" spans="1:16">
      <c r="A1" t="s">
        <v>530</v>
      </c>
    </row>
    <row r="3" spans="1:16" ht="72">
      <c r="A3" s="9" t="s">
        <v>333</v>
      </c>
      <c r="B3" s="9"/>
      <c r="C3" s="10" t="s">
        <v>22</v>
      </c>
      <c r="D3" s="10" t="s">
        <v>21</v>
      </c>
      <c r="E3" s="10" t="s">
        <v>23</v>
      </c>
      <c r="F3" s="11" t="s">
        <v>38</v>
      </c>
      <c r="G3" s="11" t="s">
        <v>36</v>
      </c>
      <c r="H3" s="11" t="s">
        <v>24</v>
      </c>
      <c r="I3" s="11" t="s">
        <v>25</v>
      </c>
      <c r="J3" s="12" t="s">
        <v>39</v>
      </c>
      <c r="K3" s="11" t="s">
        <v>26</v>
      </c>
      <c r="L3" s="13" t="s">
        <v>1</v>
      </c>
      <c r="M3" s="13" t="s">
        <v>27</v>
      </c>
      <c r="N3" s="13" t="s">
        <v>33</v>
      </c>
      <c r="P3" s="116" t="s">
        <v>178</v>
      </c>
    </row>
    <row r="4" spans="1:16" ht="6" customHeight="1" thickBot="1"/>
    <row r="5" spans="1:16" ht="16" thickBot="1">
      <c r="A5" s="327">
        <f>'Total услуга'!D3</f>
        <v>1</v>
      </c>
      <c r="B5" s="28" t="s">
        <v>19</v>
      </c>
      <c r="C5" s="4"/>
      <c r="D5" s="4"/>
      <c r="E5" s="5">
        <v>0</v>
      </c>
      <c r="F5" s="5">
        <f>(G5-H5)*K5-I5-J5</f>
        <v>0</v>
      </c>
      <c r="G5" s="29">
        <v>0</v>
      </c>
      <c r="H5" s="233">
        <f>H7</f>
        <v>80.287696600000018</v>
      </c>
      <c r="I5" s="30">
        <v>0</v>
      </c>
      <c r="J5" s="4"/>
      <c r="K5" s="29">
        <v>0</v>
      </c>
      <c r="L5" s="5">
        <f>E5*G5*K5</f>
        <v>0</v>
      </c>
      <c r="M5" s="5">
        <f>E5*(H5*K5+I5+J5)</f>
        <v>0</v>
      </c>
      <c r="N5" s="6">
        <f>L5-M5</f>
        <v>0</v>
      </c>
      <c r="P5" s="268" t="s">
        <v>179</v>
      </c>
    </row>
    <row r="6" spans="1:16" ht="16" thickBot="1">
      <c r="A6" s="327"/>
      <c r="B6" s="31" t="s">
        <v>20</v>
      </c>
      <c r="C6" s="32">
        <v>20000000</v>
      </c>
      <c r="D6" s="33">
        <v>5.0000000000000001E-4</v>
      </c>
      <c r="E6" s="3">
        <f>D6*C6</f>
        <v>10000</v>
      </c>
      <c r="F6" s="3">
        <f>(G6-H6)*K6-I6-J6</f>
        <v>96.273820399999892</v>
      </c>
      <c r="G6" s="32">
        <v>100</v>
      </c>
      <c r="H6" s="232">
        <f>H7</f>
        <v>80.287696600000018</v>
      </c>
      <c r="I6" s="32">
        <f>G6/100*10</f>
        <v>10</v>
      </c>
      <c r="J6" s="32">
        <v>12</v>
      </c>
      <c r="K6" s="32">
        <v>6</v>
      </c>
      <c r="L6" s="3">
        <f>E6*G6*K6</f>
        <v>6000000</v>
      </c>
      <c r="M6" s="3">
        <f>E6*(H6*K6+I6+J6)</f>
        <v>5037261.796000001</v>
      </c>
      <c r="N6" s="7">
        <f>L6-M6</f>
        <v>962738.20399999898</v>
      </c>
      <c r="P6" s="269"/>
    </row>
    <row r="7" spans="1:16" ht="16" thickBot="1">
      <c r="A7" s="327"/>
      <c r="B7" s="34" t="s">
        <v>29</v>
      </c>
      <c r="C7" s="35"/>
      <c r="D7" s="35"/>
      <c r="E7" s="36">
        <f>SUM(E5:E6)</f>
        <v>10000</v>
      </c>
      <c r="F7" s="234">
        <f>(E5*F5+E6*F6)/E7</f>
        <v>96.273820399999892</v>
      </c>
      <c r="G7" s="234">
        <f>(E5*G5+E6*G6)/E7</f>
        <v>100</v>
      </c>
      <c r="H7" s="235">
        <f>SUM('Ден поток'!E48:F48)/E7/K7*1000</f>
        <v>80.287696600000018</v>
      </c>
      <c r="I7" s="234">
        <f>(E5*I5+E6*I6)/E7</f>
        <v>10</v>
      </c>
      <c r="J7" s="234">
        <f>(E5*J5+E6*J6)/E7</f>
        <v>12</v>
      </c>
      <c r="K7" s="236">
        <f>(E5*K5+E6*K6)/E7</f>
        <v>6</v>
      </c>
      <c r="L7" s="36">
        <f>SUM(L5:L6)</f>
        <v>6000000</v>
      </c>
      <c r="M7" s="36">
        <f>SUM(M5:M6)</f>
        <v>5037261.796000001</v>
      </c>
      <c r="N7" s="37">
        <f>SUM(N5:N6)</f>
        <v>962738.20399999898</v>
      </c>
      <c r="P7" s="269"/>
    </row>
    <row r="8" spans="1:16" ht="16" thickBot="1">
      <c r="A8" s="327"/>
      <c r="B8" s="38" t="s">
        <v>28</v>
      </c>
      <c r="C8" s="38"/>
      <c r="D8" s="39">
        <v>0.2</v>
      </c>
      <c r="E8" s="38"/>
      <c r="F8" s="38"/>
      <c r="G8" s="38"/>
      <c r="H8" s="119"/>
      <c r="I8" s="38"/>
      <c r="J8" s="38"/>
      <c r="K8" s="38"/>
      <c r="L8" s="38"/>
      <c r="M8" s="38"/>
      <c r="N8" s="8"/>
      <c r="P8" s="270"/>
    </row>
    <row r="9" spans="1:16" ht="6" customHeight="1" thickBot="1">
      <c r="A9" s="328"/>
      <c r="H9" s="120"/>
    </row>
    <row r="10" spans="1:16" ht="16" thickBot="1">
      <c r="A10" s="327">
        <f>'Total услуга'!E3</f>
        <v>2</v>
      </c>
      <c r="B10" s="28" t="s">
        <v>19</v>
      </c>
      <c r="C10" s="4"/>
      <c r="D10" s="4"/>
      <c r="E10" s="5">
        <f>ROUNDUP((E5+E6)*(1-D8),0)</f>
        <v>8000</v>
      </c>
      <c r="F10" s="5">
        <f>(G10-H10)*K10-I10-J10</f>
        <v>776.4437250370371</v>
      </c>
      <c r="G10" s="29">
        <v>100</v>
      </c>
      <c r="H10" s="233">
        <f>H12</f>
        <v>35.296356246913575</v>
      </c>
      <c r="I10" s="30"/>
      <c r="J10" s="4"/>
      <c r="K10" s="29">
        <v>12</v>
      </c>
      <c r="L10" s="5">
        <f>E10*G10*K10</f>
        <v>9600000</v>
      </c>
      <c r="M10" s="5">
        <f>E10*(H10*K10+I10+J10)</f>
        <v>3388450.1997037032</v>
      </c>
      <c r="N10" s="6">
        <f>L10-M10</f>
        <v>6211549.8002962973</v>
      </c>
      <c r="P10" s="271" t="s">
        <v>180</v>
      </c>
    </row>
    <row r="11" spans="1:16" ht="16" thickBot="1">
      <c r="A11" s="327"/>
      <c r="B11" s="31" t="s">
        <v>20</v>
      </c>
      <c r="C11" s="32">
        <v>20000000</v>
      </c>
      <c r="D11" s="33">
        <v>0.01</v>
      </c>
      <c r="E11" s="3">
        <f>D11*C11</f>
        <v>200000</v>
      </c>
      <c r="F11" s="3">
        <f>(G11-H11)*K11-I11-J11</f>
        <v>258.22186251851855</v>
      </c>
      <c r="G11" s="32">
        <v>100</v>
      </c>
      <c r="H11" s="232">
        <f>H12</f>
        <v>35.296356246913575</v>
      </c>
      <c r="I11" s="32">
        <f>G11/100*10+100</f>
        <v>110</v>
      </c>
      <c r="J11" s="32">
        <v>20</v>
      </c>
      <c r="K11" s="32">
        <v>6</v>
      </c>
      <c r="L11" s="3">
        <f>E11*G11*K11</f>
        <v>120000000</v>
      </c>
      <c r="M11" s="3">
        <f>E11*(H11*K11+I11+J11)</f>
        <v>68355627.496296287</v>
      </c>
      <c r="N11" s="7">
        <f>L11-M11</f>
        <v>51644372.503703713</v>
      </c>
      <c r="P11" s="272"/>
    </row>
    <row r="12" spans="1:16" ht="16" thickBot="1">
      <c r="A12" s="327"/>
      <c r="B12" s="34" t="s">
        <v>29</v>
      </c>
      <c r="C12" s="35"/>
      <c r="D12" s="35"/>
      <c r="E12" s="36">
        <f>SUM(E10:E11)</f>
        <v>208000</v>
      </c>
      <c r="F12" s="234">
        <f>(E10*F10+E11*F11)/E12</f>
        <v>278.15347261538466</v>
      </c>
      <c r="G12" s="234">
        <f>(E10*G10+E11*G11)/E12</f>
        <v>100</v>
      </c>
      <c r="H12" s="235">
        <f>SUM('Ден поток'!G48:J48)/E12/K12*1000</f>
        <v>35.296356246913575</v>
      </c>
      <c r="I12" s="234">
        <f>(E10*I10+E11*I11)/E12</f>
        <v>105.76923076923077</v>
      </c>
      <c r="J12" s="234">
        <f>(E10*J10+E11*J11)/E12</f>
        <v>19.23076923076923</v>
      </c>
      <c r="K12" s="236">
        <f>(E10*K10+E11*K11)/E12</f>
        <v>6.2307692307692308</v>
      </c>
      <c r="L12" s="36">
        <f>SUM(L10:L11)</f>
        <v>129600000</v>
      </c>
      <c r="M12" s="36">
        <f>SUM(M10:M11)</f>
        <v>71744077.695999995</v>
      </c>
      <c r="N12" s="37">
        <f>SUM(N10:N11)</f>
        <v>57855922.304000013</v>
      </c>
      <c r="P12" s="272"/>
    </row>
    <row r="13" spans="1:16" ht="16" thickBot="1">
      <c r="A13" s="327"/>
      <c r="B13" s="38" t="s">
        <v>28</v>
      </c>
      <c r="C13" s="38"/>
      <c r="D13" s="39">
        <v>0.2</v>
      </c>
      <c r="E13" s="38"/>
      <c r="F13" s="38"/>
      <c r="G13" s="38"/>
      <c r="H13" s="119"/>
      <c r="I13" s="38"/>
      <c r="J13" s="38"/>
      <c r="K13" s="38"/>
      <c r="L13" s="38"/>
      <c r="M13" s="38"/>
      <c r="N13" s="8"/>
      <c r="P13" s="273"/>
    </row>
    <row r="14" spans="1:16" ht="6" customHeight="1" thickBot="1">
      <c r="A14" s="328"/>
      <c r="H14" s="120"/>
    </row>
    <row r="15" spans="1:16" ht="16" thickBot="1">
      <c r="A15" s="327">
        <f>'Total услуга'!F3</f>
        <v>3</v>
      </c>
      <c r="B15" s="28" t="s">
        <v>19</v>
      </c>
      <c r="C15" s="4"/>
      <c r="D15" s="4"/>
      <c r="E15" s="5">
        <f>ROUNDUP((E10+E11)*(1-D13),0)</f>
        <v>166400</v>
      </c>
      <c r="F15" s="5">
        <f>(G15-H15)*K15-I15-J15</f>
        <v>829.9714652252253</v>
      </c>
      <c r="G15" s="29">
        <v>100</v>
      </c>
      <c r="H15" s="233">
        <f>H17</f>
        <v>30.835711231231233</v>
      </c>
      <c r="I15" s="30"/>
      <c r="J15" s="4"/>
      <c r="K15" s="29">
        <v>12</v>
      </c>
      <c r="L15" s="5">
        <f>E15*G15*K15</f>
        <v>199680000</v>
      </c>
      <c r="M15" s="5">
        <f>E15*(H15*K15+I15+J15)</f>
        <v>61572748.186522529</v>
      </c>
      <c r="N15" s="6">
        <f>L15-M15</f>
        <v>138107251.81347746</v>
      </c>
      <c r="P15" s="274" t="s">
        <v>181</v>
      </c>
    </row>
    <row r="16" spans="1:16" ht="16" thickBot="1">
      <c r="A16" s="327"/>
      <c r="B16" s="31" t="s">
        <v>20</v>
      </c>
      <c r="C16" s="32">
        <v>20000000</v>
      </c>
      <c r="D16" s="33">
        <v>0.01</v>
      </c>
      <c r="E16" s="3">
        <f>D16*C16</f>
        <v>200000</v>
      </c>
      <c r="F16" s="3">
        <f>(G16-H16)*K16-I16-J16</f>
        <v>284.98573261261265</v>
      </c>
      <c r="G16" s="32">
        <v>100</v>
      </c>
      <c r="H16" s="232">
        <f>H17</f>
        <v>30.835711231231233</v>
      </c>
      <c r="I16" s="32">
        <f>G16/100*10+100</f>
        <v>110</v>
      </c>
      <c r="J16" s="32">
        <v>20</v>
      </c>
      <c r="K16" s="32">
        <v>6</v>
      </c>
      <c r="L16" s="3">
        <f>E16*G16*K16</f>
        <v>120000000</v>
      </c>
      <c r="M16" s="3">
        <f>E16*(H16*K16+I16+J16)</f>
        <v>63002853.477477483</v>
      </c>
      <c r="N16" s="7">
        <f>L16-M16</f>
        <v>56997146.522522517</v>
      </c>
      <c r="P16" s="275"/>
    </row>
    <row r="17" spans="1:16" ht="16" thickBot="1">
      <c r="A17" s="327"/>
      <c r="B17" s="34" t="s">
        <v>29</v>
      </c>
      <c r="C17" s="35"/>
      <c r="D17" s="35"/>
      <c r="E17" s="36">
        <f>SUM(E15:E16)</f>
        <v>366400</v>
      </c>
      <c r="F17" s="234">
        <f>(E15*F15+E16*F16)/E17</f>
        <v>532.49017013100445</v>
      </c>
      <c r="G17" s="234">
        <f>(E15*G15+E16*G16)/E17</f>
        <v>100</v>
      </c>
      <c r="H17" s="235">
        <f>SUM('Ден поток'!K48:N48)/E17/K17*1000</f>
        <v>30.835711231231233</v>
      </c>
      <c r="I17" s="234">
        <f>(E15*I15+E16*I16)/E17</f>
        <v>60.043668122270745</v>
      </c>
      <c r="J17" s="234">
        <f>(E15*J15+E16*J16)/E17</f>
        <v>10.91703056768559</v>
      </c>
      <c r="K17" s="236">
        <f>(E15*K15+E16*K16)/E17</f>
        <v>8.7248908296943224</v>
      </c>
      <c r="L17" s="36">
        <f>SUM(L15:L16)</f>
        <v>319680000</v>
      </c>
      <c r="M17" s="36">
        <f>SUM(M15:M16)</f>
        <v>124575601.664</v>
      </c>
      <c r="N17" s="37">
        <f>SUM(N15:N16)</f>
        <v>195104398.33599997</v>
      </c>
      <c r="P17" s="275"/>
    </row>
    <row r="18" spans="1:16" ht="16" thickBot="1">
      <c r="A18" s="327"/>
      <c r="B18" s="38" t="s">
        <v>28</v>
      </c>
      <c r="C18" s="38"/>
      <c r="D18" s="39">
        <v>0.15</v>
      </c>
      <c r="E18" s="38"/>
      <c r="F18" s="38"/>
      <c r="G18" s="38"/>
      <c r="H18" s="119"/>
      <c r="I18" s="38"/>
      <c r="J18" s="38"/>
      <c r="K18" s="38"/>
      <c r="L18" s="38"/>
      <c r="M18" s="38"/>
      <c r="N18" s="8"/>
      <c r="P18" s="276"/>
    </row>
    <row r="19" spans="1:16" ht="6" customHeight="1" thickBot="1">
      <c r="A19" s="328"/>
      <c r="H19" s="120"/>
    </row>
    <row r="20" spans="1:16" ht="16" thickBot="1">
      <c r="A20" s="327">
        <f>'Total услуга'!G3</f>
        <v>4</v>
      </c>
      <c r="B20" s="28" t="s">
        <v>19</v>
      </c>
      <c r="C20" s="4"/>
      <c r="D20" s="4"/>
      <c r="E20" s="5">
        <f>ROUNDUP((E15+E16)*(1-D18),0)</f>
        <v>311440</v>
      </c>
      <c r="F20" s="5">
        <f>(G20-H20)*K20-I20-J20</f>
        <v>780</v>
      </c>
      <c r="G20" s="29">
        <v>100</v>
      </c>
      <c r="H20" s="233">
        <f>H22</f>
        <v>35</v>
      </c>
      <c r="I20" s="30"/>
      <c r="J20" s="4"/>
      <c r="K20" s="29">
        <v>12</v>
      </c>
      <c r="L20" s="5">
        <f>E20*G20*K20</f>
        <v>373728000</v>
      </c>
      <c r="M20" s="5">
        <f>E20*(H20*K20+I20+J20)</f>
        <v>130804800</v>
      </c>
      <c r="N20" s="6">
        <f>L20-M20</f>
        <v>242923200</v>
      </c>
      <c r="P20" s="271" t="s">
        <v>182</v>
      </c>
    </row>
    <row r="21" spans="1:16" ht="16" thickBot="1">
      <c r="A21" s="327"/>
      <c r="B21" s="31" t="s">
        <v>20</v>
      </c>
      <c r="C21" s="32">
        <v>20000000</v>
      </c>
      <c r="D21" s="33">
        <v>0.01</v>
      </c>
      <c r="E21" s="3">
        <f>D21*C21</f>
        <v>200000</v>
      </c>
      <c r="F21" s="3">
        <f>(G21-H21)*K21-I21-J21</f>
        <v>360</v>
      </c>
      <c r="G21" s="32">
        <v>100</v>
      </c>
      <c r="H21" s="232">
        <f>H22</f>
        <v>35</v>
      </c>
      <c r="I21" s="32">
        <f>G21/100*10</f>
        <v>10</v>
      </c>
      <c r="J21" s="32">
        <v>20</v>
      </c>
      <c r="K21" s="32">
        <v>6</v>
      </c>
      <c r="L21" s="3">
        <f>E21*G21*K21</f>
        <v>120000000</v>
      </c>
      <c r="M21" s="3">
        <f>E21*(H21*K21+I21+J21)</f>
        <v>48000000</v>
      </c>
      <c r="N21" s="7">
        <f>L21-M21</f>
        <v>72000000</v>
      </c>
      <c r="P21" s="272"/>
    </row>
    <row r="22" spans="1:16" ht="16" thickBot="1">
      <c r="A22" s="327"/>
      <c r="B22" s="34" t="s">
        <v>29</v>
      </c>
      <c r="C22" s="35"/>
      <c r="D22" s="35"/>
      <c r="E22" s="36">
        <f>SUM(E20:E21)</f>
        <v>511440</v>
      </c>
      <c r="F22" s="234">
        <f>(E20*F20+E21*F21)/E22</f>
        <v>615.75786015954952</v>
      </c>
      <c r="G22" s="234">
        <f>(E20*G20+E21*G21)/E22</f>
        <v>100</v>
      </c>
      <c r="H22" s="237">
        <v>35</v>
      </c>
      <c r="I22" s="234">
        <f>(E20*I20+E21*I21)/E22</f>
        <v>3.9105271390583449</v>
      </c>
      <c r="J22" s="234">
        <f>(E20*J20+E21*J21)/E22</f>
        <v>7.8210542781166899</v>
      </c>
      <c r="K22" s="236">
        <f>(E20*K20+E21*K21)/E22</f>
        <v>9.6536837165649931</v>
      </c>
      <c r="L22" s="36">
        <f>SUM(L20:L21)</f>
        <v>493728000</v>
      </c>
      <c r="M22" s="36">
        <f>SUM(M20:M21)</f>
        <v>178804800</v>
      </c>
      <c r="N22" s="37">
        <f>SUM(N20:N21)</f>
        <v>314923200</v>
      </c>
      <c r="P22" s="272"/>
    </row>
    <row r="23" spans="1:16" ht="16" thickBot="1">
      <c r="A23" s="327"/>
      <c r="B23" s="38" t="s">
        <v>28</v>
      </c>
      <c r="C23" s="38"/>
      <c r="D23" s="39">
        <v>0.15</v>
      </c>
      <c r="E23" s="38"/>
      <c r="F23" s="38"/>
      <c r="G23" s="38"/>
      <c r="H23" s="119"/>
      <c r="I23" s="38"/>
      <c r="J23" s="38"/>
      <c r="K23" s="38"/>
      <c r="L23" s="38"/>
      <c r="M23" s="38"/>
      <c r="N23" s="8"/>
      <c r="P23" s="273"/>
    </row>
    <row r="24" spans="1:16" ht="6" customHeight="1" thickBot="1">
      <c r="A24" s="328"/>
      <c r="H24" s="120"/>
    </row>
    <row r="25" spans="1:16" ht="16" thickBot="1">
      <c r="A25" s="327">
        <f>'Total услуга'!H3</f>
        <v>5</v>
      </c>
      <c r="B25" s="28" t="s">
        <v>19</v>
      </c>
      <c r="C25" s="4"/>
      <c r="D25" s="4"/>
      <c r="E25" s="5">
        <f>ROUNDUP((E20+E21)*(1-D23),0)</f>
        <v>434724</v>
      </c>
      <c r="F25" s="5">
        <f>(G25-H25)*K25-I25-J25</f>
        <v>720</v>
      </c>
      <c r="G25" s="29">
        <v>100</v>
      </c>
      <c r="H25" s="233">
        <f>H27</f>
        <v>40</v>
      </c>
      <c r="I25" s="30"/>
      <c r="J25" s="4"/>
      <c r="K25" s="29">
        <v>12</v>
      </c>
      <c r="L25" s="5">
        <f>E25*G25*K25</f>
        <v>521668800</v>
      </c>
      <c r="M25" s="5">
        <f>E25*(H25*K25+I25+J25)</f>
        <v>208667520</v>
      </c>
      <c r="N25" s="6">
        <f>L25-M25</f>
        <v>313001280</v>
      </c>
      <c r="P25" s="274" t="s">
        <v>183</v>
      </c>
    </row>
    <row r="26" spans="1:16" ht="16" thickBot="1">
      <c r="A26" s="327"/>
      <c r="B26" s="31" t="s">
        <v>20</v>
      </c>
      <c r="C26" s="32">
        <v>20000000</v>
      </c>
      <c r="D26" s="33">
        <v>2.5000000000000001E-3</v>
      </c>
      <c r="E26" s="3">
        <f>D26*C26</f>
        <v>50000</v>
      </c>
      <c r="F26" s="3">
        <f>(G26-H26)*K26-I26-J26</f>
        <v>330</v>
      </c>
      <c r="G26" s="32">
        <v>100</v>
      </c>
      <c r="H26" s="232">
        <f>H27</f>
        <v>40</v>
      </c>
      <c r="I26" s="32">
        <f>G26/100*10</f>
        <v>10</v>
      </c>
      <c r="J26" s="32">
        <v>20</v>
      </c>
      <c r="K26" s="32">
        <v>6</v>
      </c>
      <c r="L26" s="3">
        <f>E26*G26*K26</f>
        <v>30000000</v>
      </c>
      <c r="M26" s="3">
        <f>E26*(H26*K26+I26+J26)</f>
        <v>13500000</v>
      </c>
      <c r="N26" s="7">
        <f>L26-M26</f>
        <v>16500000</v>
      </c>
      <c r="P26" s="275"/>
    </row>
    <row r="27" spans="1:16" ht="16" thickBot="1">
      <c r="A27" s="327"/>
      <c r="B27" s="34" t="s">
        <v>29</v>
      </c>
      <c r="C27" s="35"/>
      <c r="D27" s="35"/>
      <c r="E27" s="36">
        <f>SUM(E25:E26)</f>
        <v>484724</v>
      </c>
      <c r="F27" s="234">
        <f>(E25*F25+E26*F26)/E27</f>
        <v>679.77092118401401</v>
      </c>
      <c r="G27" s="234">
        <f>(E25*G25+E26*G26)/E27</f>
        <v>100</v>
      </c>
      <c r="H27" s="237">
        <v>40</v>
      </c>
      <c r="I27" s="234">
        <f>(E25*I25+E26*I26)/E27</f>
        <v>1.0315148414355386</v>
      </c>
      <c r="J27" s="234">
        <f>(E25*J25+E26*J26)/E27</f>
        <v>2.0630296828710772</v>
      </c>
      <c r="K27" s="236">
        <f>(E25*K25+E26*K26)/E27</f>
        <v>11.381091095138677</v>
      </c>
      <c r="L27" s="36">
        <f>SUM(L25:L26)</f>
        <v>551668800</v>
      </c>
      <c r="M27" s="36">
        <f>SUM(M25:M26)</f>
        <v>222167520</v>
      </c>
      <c r="N27" s="37">
        <f>SUM(N25:N26)</f>
        <v>329501280</v>
      </c>
      <c r="P27" s="275"/>
    </row>
    <row r="28" spans="1:16" ht="16" thickBot="1">
      <c r="A28" s="327"/>
      <c r="B28" s="38" t="s">
        <v>28</v>
      </c>
      <c r="C28" s="38"/>
      <c r="D28" s="39">
        <v>0.2</v>
      </c>
      <c r="E28" s="38"/>
      <c r="F28" s="38"/>
      <c r="G28" s="38"/>
      <c r="H28" s="38"/>
      <c r="I28" s="38"/>
      <c r="J28" s="38"/>
      <c r="K28" s="38"/>
      <c r="L28" s="38"/>
      <c r="M28" s="38"/>
      <c r="N28" s="8"/>
      <c r="P28" s="276"/>
    </row>
    <row r="29" spans="1:16" ht="6" customHeight="1" thickBot="1"/>
    <row r="30" spans="1:16" ht="16" thickBot="1">
      <c r="A30" s="277" t="s">
        <v>30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9"/>
      <c r="L30" s="14">
        <f>L7+L12+L17+L22+L27</f>
        <v>1500676800</v>
      </c>
      <c r="M30" s="15">
        <f>M7+M12+M17+M22+M27</f>
        <v>602329261.15600002</v>
      </c>
      <c r="N30" s="16">
        <f>N7+N12+N17+N22+N27</f>
        <v>898347538.84399998</v>
      </c>
    </row>
    <row r="33" spans="8:8">
      <c r="H33" s="118"/>
    </row>
    <row r="35" spans="8:8">
      <c r="H35" s="118"/>
    </row>
    <row r="36" spans="8:8">
      <c r="H36" s="118"/>
    </row>
  </sheetData>
  <mergeCells count="11">
    <mergeCell ref="A25:A28"/>
    <mergeCell ref="A30:K30"/>
    <mergeCell ref="A5:A8"/>
    <mergeCell ref="A10:A13"/>
    <mergeCell ref="A15:A18"/>
    <mergeCell ref="A20:A23"/>
    <mergeCell ref="P5:P8"/>
    <mergeCell ref="P10:P13"/>
    <mergeCell ref="P15:P18"/>
    <mergeCell ref="P20:P23"/>
    <mergeCell ref="P25:P28"/>
  </mergeCells>
  <pageMargins left="0.25" right="0.25" top="0.75" bottom="0.75" header="0.3" footer="0.3"/>
  <pageSetup paperSize="9" scale="69" orientation="landscape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K35"/>
  <sheetViews>
    <sheetView showGridLines="0" workbookViewId="0">
      <selection activeCell="K31" sqref="K31"/>
    </sheetView>
  </sheetViews>
  <sheetFormatPr baseColWidth="10" defaultColWidth="8.83203125" defaultRowHeight="15"/>
  <cols>
    <col min="1" max="1" width="3.6640625" customWidth="1"/>
    <col min="2" max="2" width="30.5" customWidth="1"/>
    <col min="4" max="4" width="10.5" bestFit="1" customWidth="1"/>
    <col min="5" max="7" width="13.1640625" bestFit="1" customWidth="1"/>
    <col min="8" max="9" width="14.1640625" bestFit="1" customWidth="1"/>
    <col min="11" max="11" width="13" customWidth="1"/>
  </cols>
  <sheetData>
    <row r="1" spans="1:11" s="102" customFormat="1" ht="49" customHeight="1" thickBot="1">
      <c r="A1" s="103"/>
      <c r="B1" s="282" t="s">
        <v>531</v>
      </c>
      <c r="C1" s="282"/>
      <c r="D1" s="282"/>
      <c r="E1" s="282"/>
      <c r="F1" s="282"/>
      <c r="G1" s="282"/>
      <c r="H1" s="282"/>
      <c r="I1" s="282"/>
    </row>
    <row r="2" spans="1:11" ht="16" thickTop="1"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80" t="s">
        <v>31</v>
      </c>
    </row>
    <row r="3" spans="1:11">
      <c r="C3" s="23">
        <v>2019</v>
      </c>
      <c r="D3" s="23">
        <v>1</v>
      </c>
      <c r="E3" s="24">
        <f>D3+1</f>
        <v>2</v>
      </c>
      <c r="F3" s="24">
        <f>E3+1</f>
        <v>3</v>
      </c>
      <c r="G3" s="24">
        <f>F3+1</f>
        <v>4</v>
      </c>
      <c r="H3" s="24">
        <f>G3+1</f>
        <v>5</v>
      </c>
      <c r="I3" s="281"/>
    </row>
    <row r="5" spans="1:11">
      <c r="B5" t="s">
        <v>8</v>
      </c>
      <c r="D5" s="3">
        <f>'Revenue&amp;costs услуга'!L7</f>
        <v>6000000</v>
      </c>
      <c r="E5" s="3">
        <f>'Revenue&amp;costs услуга'!L12</f>
        <v>129600000</v>
      </c>
      <c r="F5" s="3">
        <f>'Revenue&amp;costs услуга'!L17</f>
        <v>319680000</v>
      </c>
      <c r="G5" s="3">
        <f>'Revenue&amp;costs услуга'!L22</f>
        <v>493728000</v>
      </c>
      <c r="H5" s="3">
        <f>'Revenue&amp;costs услуга'!L27</f>
        <v>551668800</v>
      </c>
      <c r="I5" s="3">
        <f>SUM(D5:H5)</f>
        <v>1500676800</v>
      </c>
      <c r="K5" s="197"/>
    </row>
    <row r="6" spans="1:11">
      <c r="B6" t="s">
        <v>35</v>
      </c>
      <c r="D6" s="3">
        <f>'Revenue&amp;costs услуга'!M7</f>
        <v>5037261.796000001</v>
      </c>
      <c r="E6" s="3">
        <f>'Revenue&amp;costs услуга'!M12</f>
        <v>71744077.695999995</v>
      </c>
      <c r="F6" s="3">
        <f>'Revenue&amp;costs услуга'!M17</f>
        <v>124575601.664</v>
      </c>
      <c r="G6" s="3">
        <f>'Revenue&amp;costs услуга'!M22</f>
        <v>178804800</v>
      </c>
      <c r="H6" s="3">
        <f>'Revenue&amp;costs услуга'!M27</f>
        <v>222167520</v>
      </c>
      <c r="I6" s="3">
        <f t="shared" ref="I6:I22" si="0">SUM(D6:H6)</f>
        <v>602329261.15600002</v>
      </c>
    </row>
    <row r="7" spans="1:11">
      <c r="B7" t="s">
        <v>9</v>
      </c>
      <c r="D7" s="3">
        <f>D5-D6</f>
        <v>962738.20399999898</v>
      </c>
      <c r="E7" s="3">
        <f>E5-E6</f>
        <v>57855922.304000005</v>
      </c>
      <c r="F7" s="3">
        <f>F5-F6</f>
        <v>195104398.336</v>
      </c>
      <c r="G7" s="3">
        <f>G5-G6</f>
        <v>314923200</v>
      </c>
      <c r="H7" s="3">
        <f>H5-H6</f>
        <v>329501280</v>
      </c>
      <c r="I7" s="3">
        <f t="shared" si="0"/>
        <v>898347538.84399998</v>
      </c>
    </row>
    <row r="8" spans="1:11" ht="16" thickBot="1">
      <c r="D8" s="2"/>
      <c r="E8" s="2"/>
      <c r="F8" s="2"/>
      <c r="G8" s="2"/>
      <c r="H8" s="2"/>
      <c r="I8" s="2"/>
    </row>
    <row r="9" spans="1:11" ht="16" thickBot="1">
      <c r="B9" s="17" t="s">
        <v>10</v>
      </c>
      <c r="C9" s="18"/>
      <c r="D9" s="21">
        <f>SUM(D10:D16)</f>
        <v>12331830.4</v>
      </c>
      <c r="E9" s="21">
        <f>SUM(E10:E16)</f>
        <v>36813113.600000001</v>
      </c>
      <c r="F9" s="21">
        <f>SUM(F10:F16)</f>
        <v>96291862.400000006</v>
      </c>
      <c r="G9" s="21">
        <f>SUM(G10:G16)</f>
        <v>96291862.400000006</v>
      </c>
      <c r="H9" s="21">
        <f>SUM(H10:H16)</f>
        <v>96291862.400000006</v>
      </c>
      <c r="I9" s="19">
        <f t="shared" si="0"/>
        <v>338020531.20000005</v>
      </c>
    </row>
    <row r="10" spans="1:11">
      <c r="B10" s="41" t="s">
        <v>143</v>
      </c>
      <c r="D10" s="40">
        <f>КПуслуга!N21</f>
        <v>2520000</v>
      </c>
      <c r="E10" s="40">
        <f>КПуслуга!N41</f>
        <v>6480000</v>
      </c>
      <c r="F10" s="40">
        <f>КПуслуга!N61</f>
        <v>7920000</v>
      </c>
      <c r="G10" s="40">
        <f>КПуслуга!N61</f>
        <v>7920000</v>
      </c>
      <c r="H10" s="40">
        <f>КПуслуга!N61</f>
        <v>7920000</v>
      </c>
      <c r="I10" s="25">
        <f t="shared" si="0"/>
        <v>32760000</v>
      </c>
      <c r="K10" t="s">
        <v>37</v>
      </c>
    </row>
    <row r="11" spans="1:11">
      <c r="B11" s="41" t="s">
        <v>150</v>
      </c>
      <c r="D11" s="32">
        <f>КПуслуга!N22</f>
        <v>761040</v>
      </c>
      <c r="E11" s="32">
        <f>КПуслуга!N42</f>
        <v>1956960</v>
      </c>
      <c r="F11" s="32">
        <f>КПуслуга!N62</f>
        <v>2391840</v>
      </c>
      <c r="G11" s="32">
        <f>КПуслуга!N62</f>
        <v>2391840</v>
      </c>
      <c r="H11" s="32">
        <f>КПуслуга!N62</f>
        <v>2391840</v>
      </c>
      <c r="I11" s="3">
        <f t="shared" si="0"/>
        <v>9893520</v>
      </c>
    </row>
    <row r="12" spans="1:11">
      <c r="B12" s="41" t="s">
        <v>170</v>
      </c>
      <c r="D12" s="32">
        <f>SUM('Ден поток'!C33:F33)*1000</f>
        <v>450000</v>
      </c>
      <c r="E12" s="32">
        <f>SUM('Ден поток'!G33:J33)*1000</f>
        <v>1800000</v>
      </c>
      <c r="F12" s="32">
        <f>SUM('Ден поток'!K33:N33)*1000</f>
        <v>1800000</v>
      </c>
      <c r="G12" s="32">
        <f>F12</f>
        <v>1800000</v>
      </c>
      <c r="H12" s="32">
        <f>G12</f>
        <v>1800000</v>
      </c>
      <c r="I12" s="3">
        <f t="shared" si="0"/>
        <v>7650000</v>
      </c>
    </row>
    <row r="13" spans="1:11">
      <c r="B13" s="41" t="s">
        <v>158</v>
      </c>
      <c r="D13" s="32">
        <f>SUM('Ден поток'!C34:F34)*1000</f>
        <v>1280000</v>
      </c>
      <c r="E13" s="32">
        <f>SUM('Ден поток'!G34:J34)*1000</f>
        <v>200000</v>
      </c>
      <c r="F13" s="32">
        <f>SUM('Ден поток'!K34:N34)*1000</f>
        <v>0</v>
      </c>
      <c r="G13" s="32">
        <f>F13</f>
        <v>0</v>
      </c>
      <c r="H13" s="32">
        <f>F13</f>
        <v>0</v>
      </c>
      <c r="I13" s="3">
        <f t="shared" si="0"/>
        <v>1480000</v>
      </c>
    </row>
    <row r="14" spans="1:11">
      <c r="B14" s="41" t="s">
        <v>144</v>
      </c>
      <c r="D14" s="32">
        <f>SUM('Ден поток'!C36:F42)*1000</f>
        <v>908000</v>
      </c>
      <c r="E14" s="32">
        <f>SUM('Ден поток'!G36:J42)*1000</f>
        <v>1818400</v>
      </c>
      <c r="F14" s="32">
        <f>SUM('Ден поток'!K36:N42)*1000</f>
        <v>1818400</v>
      </c>
      <c r="G14" s="32">
        <f>F14</f>
        <v>1818400</v>
      </c>
      <c r="H14" s="32">
        <f>F14</f>
        <v>1818400</v>
      </c>
      <c r="I14" s="3">
        <f t="shared" si="0"/>
        <v>8181600</v>
      </c>
    </row>
    <row r="15" spans="1:11">
      <c r="B15" s="41" t="s">
        <v>148</v>
      </c>
      <c r="D15" s="32">
        <f>SUM('Ден поток'!C44:F45)*1000</f>
        <v>360000</v>
      </c>
      <c r="E15" s="32">
        <f>SUM('Ден поток'!G44:J45)*1000</f>
        <v>19520000</v>
      </c>
      <c r="F15" s="32">
        <f>SUM('Ден поток'!K44:N45)*1000</f>
        <v>48032000</v>
      </c>
      <c r="G15" s="32">
        <f>F15</f>
        <v>48032000</v>
      </c>
      <c r="H15" s="32">
        <f>F15</f>
        <v>48032000</v>
      </c>
      <c r="I15" s="3">
        <f t="shared" si="0"/>
        <v>163976000</v>
      </c>
    </row>
    <row r="16" spans="1:11">
      <c r="B16" s="41" t="s">
        <v>271</v>
      </c>
      <c r="D16" s="32">
        <f>SUM('Ден поток'!C46:F46)*1000+SUM('Ден поток'!C69:F73)*1000</f>
        <v>6052790.4000000004</v>
      </c>
      <c r="E16" s="32">
        <f>SUM('Ден поток'!G46:J46)*1000+SUM('Ден поток'!G69:J73)*1000</f>
        <v>5037753.5999999996</v>
      </c>
      <c r="F16" s="32">
        <f>SUM('Ден поток'!K46:N46)*1000+SUM('Ден поток'!K69:N73,'Ден поток'!K79:N83)*1000</f>
        <v>34329622.399999999</v>
      </c>
      <c r="G16" s="32">
        <f>F16</f>
        <v>34329622.399999999</v>
      </c>
      <c r="H16" s="32">
        <f>F16</f>
        <v>34329622.399999999</v>
      </c>
      <c r="I16" s="3">
        <f t="shared" si="0"/>
        <v>114079411.19999999</v>
      </c>
    </row>
    <row r="17" spans="2:9" ht="16" thickBot="1">
      <c r="D17" s="2"/>
      <c r="E17" s="2"/>
      <c r="F17" s="2"/>
      <c r="G17" s="2"/>
      <c r="H17" s="2"/>
      <c r="I17" s="2"/>
    </row>
    <row r="18" spans="2:9" ht="16" thickBot="1">
      <c r="B18" s="20" t="s">
        <v>12</v>
      </c>
      <c r="C18" s="18"/>
      <c r="D18" s="21">
        <f>D7-D9</f>
        <v>-11369092.196000002</v>
      </c>
      <c r="E18" s="21">
        <f>E7-E9</f>
        <v>21042808.704000004</v>
      </c>
      <c r="F18" s="21">
        <f>F7-F9</f>
        <v>98812535.93599999</v>
      </c>
      <c r="G18" s="21">
        <f>G7-G9</f>
        <v>218631337.59999999</v>
      </c>
      <c r="H18" s="21">
        <f>H7-H9</f>
        <v>233209417.59999999</v>
      </c>
      <c r="I18" s="19">
        <f t="shared" si="0"/>
        <v>560327007.64399993</v>
      </c>
    </row>
    <row r="19" spans="2:9">
      <c r="D19" s="2"/>
      <c r="E19" s="2"/>
      <c r="F19" s="2"/>
      <c r="G19" s="2"/>
      <c r="H19" s="2"/>
      <c r="I19" s="2"/>
    </row>
    <row r="20" spans="2:9">
      <c r="B20" t="s">
        <v>11</v>
      </c>
      <c r="D20" s="32">
        <f>D16*0.1</f>
        <v>605279.04</v>
      </c>
      <c r="E20" s="32">
        <f t="shared" ref="E20:H20" si="1">E16*0.1</f>
        <v>503775.36</v>
      </c>
      <c r="F20" s="32">
        <f t="shared" si="1"/>
        <v>3432962.24</v>
      </c>
      <c r="G20" s="32">
        <f t="shared" si="1"/>
        <v>3432962.24</v>
      </c>
      <c r="H20" s="32">
        <f t="shared" si="1"/>
        <v>3432962.24</v>
      </c>
      <c r="I20" s="2">
        <f t="shared" si="0"/>
        <v>11407941.120000001</v>
      </c>
    </row>
    <row r="21" spans="2:9" ht="16" thickBot="1">
      <c r="D21" s="2"/>
      <c r="E21" s="2"/>
      <c r="F21" s="2"/>
      <c r="G21" s="2"/>
      <c r="H21" s="2"/>
      <c r="I21" s="2"/>
    </row>
    <row r="22" spans="2:9" ht="16" thickBot="1">
      <c r="B22" s="20" t="s">
        <v>13</v>
      </c>
      <c r="C22" s="18"/>
      <c r="D22" s="21">
        <f>D18-D20</f>
        <v>-11974371.236000001</v>
      </c>
      <c r="E22" s="21">
        <f>E18-E20</f>
        <v>20539033.344000004</v>
      </c>
      <c r="F22" s="21">
        <f>F18-F20</f>
        <v>95379573.695999995</v>
      </c>
      <c r="G22" s="21">
        <f>G18-G20</f>
        <v>215198375.35999998</v>
      </c>
      <c r="H22" s="21">
        <f>H18-H20</f>
        <v>229776455.35999998</v>
      </c>
      <c r="I22" s="19">
        <f t="shared" si="0"/>
        <v>548919066.52399993</v>
      </c>
    </row>
    <row r="23" spans="2:9">
      <c r="D23" s="2"/>
      <c r="E23" s="2"/>
      <c r="F23" s="2"/>
      <c r="G23" s="2"/>
      <c r="H23" s="2"/>
      <c r="I23" s="2"/>
    </row>
    <row r="24" spans="2:9" ht="16" thickBot="1">
      <c r="B24" t="s">
        <v>14</v>
      </c>
      <c r="D24" s="26">
        <v>0.14000000000000001</v>
      </c>
      <c r="E24" s="26">
        <v>0.14000000000000001</v>
      </c>
      <c r="F24" s="26">
        <v>0.14000000000000001</v>
      </c>
      <c r="G24" s="26">
        <v>0.14000000000000001</v>
      </c>
      <c r="H24" s="26">
        <v>0.14000000000000001</v>
      </c>
      <c r="I24" s="2"/>
    </row>
    <row r="25" spans="2:9" ht="16" thickBot="1">
      <c r="B25" s="20" t="s">
        <v>32</v>
      </c>
      <c r="C25" s="18"/>
      <c r="D25" s="21">
        <f>D22*D24</f>
        <v>-1676411.9730400003</v>
      </c>
      <c r="E25" s="21">
        <f>E22*E24</f>
        <v>2875464.6681600008</v>
      </c>
      <c r="F25" s="21">
        <f>F22*F24</f>
        <v>13353140.317440001</v>
      </c>
      <c r="G25" s="21">
        <f>G22*G24</f>
        <v>30127772.5504</v>
      </c>
      <c r="H25" s="21">
        <f>H22*H24</f>
        <v>32168703.750399999</v>
      </c>
      <c r="I25" s="19">
        <f>SUM(D25:H25)</f>
        <v>76848669.313360006</v>
      </c>
    </row>
    <row r="26" spans="2:9" ht="16" thickBot="1">
      <c r="D26" s="2"/>
      <c r="E26" s="2"/>
      <c r="F26" s="2"/>
      <c r="G26" s="2"/>
      <c r="H26" s="2"/>
      <c r="I26" s="2"/>
    </row>
    <row r="27" spans="2:9" ht="16" thickBot="1">
      <c r="B27" s="20" t="s">
        <v>0</v>
      </c>
      <c r="C27" s="18"/>
      <c r="D27" s="21">
        <f>D22-D25</f>
        <v>-10297959.262960002</v>
      </c>
      <c r="E27" s="21">
        <f>E22-E25</f>
        <v>17663568.675840005</v>
      </c>
      <c r="F27" s="21">
        <f>F22-F25</f>
        <v>82026433.378559992</v>
      </c>
      <c r="G27" s="21">
        <f>G22-G25</f>
        <v>185070602.8096</v>
      </c>
      <c r="H27" s="21">
        <f>H22-H25</f>
        <v>197607751.60959998</v>
      </c>
      <c r="I27" s="19">
        <f>SUM(D27:H27)</f>
        <v>472070397.21063995</v>
      </c>
    </row>
    <row r="31" spans="2:9">
      <c r="B31" t="s">
        <v>15</v>
      </c>
      <c r="F31" s="22">
        <v>30</v>
      </c>
      <c r="G31" t="s">
        <v>34</v>
      </c>
    </row>
    <row r="32" spans="2:9">
      <c r="B32" t="s">
        <v>16</v>
      </c>
      <c r="F32" s="22">
        <v>3</v>
      </c>
      <c r="G32" t="s">
        <v>34</v>
      </c>
    </row>
    <row r="34" spans="2:2">
      <c r="B34" t="s">
        <v>17</v>
      </c>
    </row>
    <row r="35" spans="2:2">
      <c r="B35" t="s">
        <v>18</v>
      </c>
    </row>
  </sheetData>
  <mergeCells count="2">
    <mergeCell ref="I2:I3"/>
    <mergeCell ref="B1:I1"/>
  </mergeCells>
  <pageMargins left="0.25" right="0.25" top="0.75" bottom="0.75" header="0.3" footer="0.3"/>
  <pageSetup paperSize="9" scale="69" orientation="portrait" verticalDpi="0"/>
  <ignoredErrors>
    <ignoredError sqref="D12:F12 D13" formulaRange="1"/>
  </ignoredError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1DC2-0150-B04A-ADA5-AF6351DD48E8}">
  <sheetPr>
    <tabColor theme="8" tint="-0.499984740745262"/>
  </sheetPr>
  <dimension ref="A1:N62"/>
  <sheetViews>
    <sheetView zoomScaleNormal="100" workbookViewId="0">
      <selection activeCell="B8" sqref="B8"/>
    </sheetView>
  </sheetViews>
  <sheetFormatPr baseColWidth="10" defaultRowHeight="14"/>
  <cols>
    <col min="1" max="1" width="50.33203125" style="56" customWidth="1"/>
    <col min="2" max="13" width="7.6640625" style="56" customWidth="1"/>
    <col min="14" max="14" width="12" style="56" customWidth="1"/>
    <col min="15" max="16384" width="10.83203125" style="56"/>
  </cols>
  <sheetData>
    <row r="1" spans="1:14">
      <c r="A1" s="117" t="s">
        <v>184</v>
      </c>
    </row>
    <row r="3" spans="1:14" ht="70" customHeight="1">
      <c r="A3" s="62" t="s">
        <v>74</v>
      </c>
      <c r="B3" s="285" t="s">
        <v>484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</row>
    <row r="4" spans="1:14">
      <c r="B4" s="56" t="s">
        <v>75</v>
      </c>
    </row>
    <row r="5" spans="1:14">
      <c r="A5" s="286" t="s">
        <v>57</v>
      </c>
      <c r="B5" s="287">
        <f>'Total услуга'!D3</f>
        <v>1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</row>
    <row r="6" spans="1:14">
      <c r="A6" s="286"/>
      <c r="B6" s="287" t="s">
        <v>52</v>
      </c>
      <c r="C6" s="287"/>
      <c r="D6" s="287"/>
      <c r="E6" s="287" t="s">
        <v>52</v>
      </c>
      <c r="F6" s="287"/>
      <c r="G6" s="287"/>
      <c r="H6" s="287" t="s">
        <v>52</v>
      </c>
      <c r="I6" s="287"/>
      <c r="J6" s="287"/>
      <c r="K6" s="287" t="s">
        <v>52</v>
      </c>
      <c r="L6" s="287"/>
      <c r="M6" s="287"/>
      <c r="N6" s="287" t="s">
        <v>77</v>
      </c>
    </row>
    <row r="7" spans="1:14">
      <c r="A7" s="286"/>
      <c r="B7" s="64">
        <v>1</v>
      </c>
      <c r="C7" s="64">
        <v>2</v>
      </c>
      <c r="D7" s="64">
        <v>3</v>
      </c>
      <c r="E7" s="64">
        <v>4</v>
      </c>
      <c r="F7" s="64">
        <v>5</v>
      </c>
      <c r="G7" s="64">
        <v>6</v>
      </c>
      <c r="H7" s="64">
        <v>7</v>
      </c>
      <c r="I7" s="64">
        <v>8</v>
      </c>
      <c r="J7" s="64">
        <v>9</v>
      </c>
      <c r="K7" s="64">
        <v>10</v>
      </c>
      <c r="L7" s="64">
        <v>11</v>
      </c>
      <c r="M7" s="64">
        <v>12</v>
      </c>
      <c r="N7" s="287"/>
    </row>
    <row r="8" spans="1:14">
      <c r="A8" s="65" t="str">
        <f>'Кадры, ставки ЗП'!A5</f>
        <v>CCO Исполнительный директор/руководитель проекта</v>
      </c>
      <c r="B8" s="66">
        <v>1</v>
      </c>
      <c r="C8" s="66">
        <v>1</v>
      </c>
      <c r="D8" s="66">
        <v>1</v>
      </c>
      <c r="E8" s="66">
        <v>1</v>
      </c>
      <c r="F8" s="66">
        <v>1</v>
      </c>
      <c r="G8" s="66">
        <v>1</v>
      </c>
      <c r="H8" s="66">
        <v>1</v>
      </c>
      <c r="I8" s="66">
        <v>1</v>
      </c>
      <c r="J8" s="66">
        <v>1</v>
      </c>
      <c r="K8" s="66">
        <v>1</v>
      </c>
      <c r="L8" s="66">
        <v>1</v>
      </c>
      <c r="M8" s="66">
        <v>1</v>
      </c>
      <c r="N8" s="68">
        <f>SUM(B8:M8)/12</f>
        <v>1</v>
      </c>
    </row>
    <row r="9" spans="1:14">
      <c r="A9" s="65" t="str">
        <f>'Кадры, ставки ЗП'!A9</f>
        <v>Руководитель сервиса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8">
        <f t="shared" ref="N9:N15" si="0">SUM(B9:M9)/12</f>
        <v>0</v>
      </c>
    </row>
    <row r="10" spans="1:14">
      <c r="A10" s="65" t="str">
        <f>'Кадры, ставки ЗП'!A10</f>
        <v>Программист / team leader</v>
      </c>
      <c r="B10" s="66">
        <v>1</v>
      </c>
      <c r="C10" s="66">
        <v>1</v>
      </c>
      <c r="D10" s="66">
        <v>1</v>
      </c>
      <c r="E10" s="66">
        <v>1</v>
      </c>
      <c r="F10" s="66">
        <v>1</v>
      </c>
      <c r="G10" s="66">
        <v>1</v>
      </c>
      <c r="H10" s="66">
        <v>2</v>
      </c>
      <c r="I10" s="66">
        <v>2</v>
      </c>
      <c r="J10" s="66">
        <v>2</v>
      </c>
      <c r="K10" s="66">
        <v>2</v>
      </c>
      <c r="L10" s="66">
        <v>2</v>
      </c>
      <c r="M10" s="66">
        <v>2</v>
      </c>
      <c r="N10" s="68">
        <f t="shared" si="0"/>
        <v>1.5</v>
      </c>
    </row>
    <row r="11" spans="1:14">
      <c r="A11" s="65" t="str">
        <f>'Кадры, ставки ЗП'!A11</f>
        <v>Администратор/секретарь</v>
      </c>
      <c r="B11" s="66"/>
      <c r="C11" s="66"/>
      <c r="D11" s="66"/>
      <c r="E11" s="66"/>
      <c r="F11" s="66"/>
      <c r="G11" s="66"/>
      <c r="H11" s="66">
        <v>1</v>
      </c>
      <c r="I11" s="66">
        <v>1</v>
      </c>
      <c r="J11" s="66">
        <v>1</v>
      </c>
      <c r="K11" s="66">
        <v>1</v>
      </c>
      <c r="L11" s="66">
        <v>1</v>
      </c>
      <c r="M11" s="66">
        <v>1</v>
      </c>
      <c r="N11" s="68">
        <f t="shared" si="0"/>
        <v>0.5</v>
      </c>
    </row>
    <row r="12" spans="1:14">
      <c r="A12" s="65" t="str">
        <f>'Кадры, ставки ЗП'!A12</f>
        <v>PR-менеджер</v>
      </c>
      <c r="B12" s="66"/>
      <c r="C12" s="66"/>
      <c r="D12" s="66"/>
      <c r="E12" s="66"/>
      <c r="F12" s="66"/>
      <c r="G12" s="66"/>
      <c r="H12" s="66">
        <v>1</v>
      </c>
      <c r="I12" s="66">
        <v>1</v>
      </c>
      <c r="J12" s="66">
        <v>1</v>
      </c>
      <c r="K12" s="66">
        <v>1</v>
      </c>
      <c r="L12" s="66">
        <v>1</v>
      </c>
      <c r="M12" s="66">
        <v>1</v>
      </c>
      <c r="N12" s="68">
        <f t="shared" si="0"/>
        <v>0.5</v>
      </c>
    </row>
    <row r="13" spans="1:14" ht="15">
      <c r="A13" s="67" t="str">
        <f>'Кадры, ставки ЗП'!A13</f>
        <v>Начальник отдела продаж</v>
      </c>
      <c r="B13" s="66"/>
      <c r="C13" s="66"/>
      <c r="D13" s="66"/>
      <c r="E13" s="66"/>
      <c r="F13" s="66"/>
      <c r="G13" s="66"/>
      <c r="H13" s="66">
        <v>1</v>
      </c>
      <c r="I13" s="66">
        <v>1</v>
      </c>
      <c r="J13" s="66">
        <v>1</v>
      </c>
      <c r="K13" s="66">
        <v>1</v>
      </c>
      <c r="L13" s="66">
        <v>1</v>
      </c>
      <c r="M13" s="66">
        <v>1</v>
      </c>
      <c r="N13" s="68">
        <f t="shared" si="0"/>
        <v>0.5</v>
      </c>
    </row>
    <row r="14" spans="1:14" ht="15">
      <c r="A14" s="67" t="str">
        <f>'Кадры, ставки ЗП'!A14</f>
        <v>Менеджер (отдел продаж)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8">
        <f t="shared" si="0"/>
        <v>0</v>
      </c>
    </row>
    <row r="15" spans="1:14" ht="15">
      <c r="A15" s="67" t="str">
        <f>'Кадры, ставки ЗП'!A8</f>
        <v>Инженер-разработчик (R&amp;D)</v>
      </c>
      <c r="B15" s="66"/>
      <c r="C15" s="66"/>
      <c r="D15" s="66"/>
      <c r="E15" s="66"/>
      <c r="F15" s="66"/>
      <c r="G15" s="66"/>
      <c r="H15" s="66">
        <v>1</v>
      </c>
      <c r="I15" s="66">
        <v>1</v>
      </c>
      <c r="J15" s="66">
        <v>1</v>
      </c>
      <c r="K15" s="66">
        <v>1</v>
      </c>
      <c r="L15" s="66">
        <v>1</v>
      </c>
      <c r="M15" s="66">
        <v>1</v>
      </c>
      <c r="N15" s="68">
        <f t="shared" si="0"/>
        <v>0.5</v>
      </c>
    </row>
    <row r="16" spans="1:14" ht="15">
      <c r="A16" s="57" t="s">
        <v>72</v>
      </c>
      <c r="B16" s="59">
        <f>SUM(B8:B15)</f>
        <v>2</v>
      </c>
      <c r="C16" s="59">
        <f t="shared" ref="C16:M16" si="1">SUM(C8:C15)</f>
        <v>2</v>
      </c>
      <c r="D16" s="59">
        <f t="shared" si="1"/>
        <v>2</v>
      </c>
      <c r="E16" s="59">
        <f t="shared" si="1"/>
        <v>2</v>
      </c>
      <c r="F16" s="59">
        <f t="shared" si="1"/>
        <v>2</v>
      </c>
      <c r="G16" s="59">
        <f t="shared" si="1"/>
        <v>2</v>
      </c>
      <c r="H16" s="59">
        <f t="shared" si="1"/>
        <v>7</v>
      </c>
      <c r="I16" s="59">
        <f t="shared" si="1"/>
        <v>7</v>
      </c>
      <c r="J16" s="59">
        <f t="shared" si="1"/>
        <v>7</v>
      </c>
      <c r="K16" s="59">
        <f t="shared" si="1"/>
        <v>7</v>
      </c>
      <c r="L16" s="59">
        <f t="shared" si="1"/>
        <v>7</v>
      </c>
      <c r="M16" s="59">
        <f t="shared" si="1"/>
        <v>7</v>
      </c>
      <c r="N16" s="69">
        <f t="shared" ref="N16:N20" si="2">SUM(B16:M16)/12</f>
        <v>4.5</v>
      </c>
    </row>
    <row r="17" spans="1:14" ht="15">
      <c r="A17" s="57" t="s">
        <v>58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69"/>
    </row>
    <row r="18" spans="1:14" ht="15">
      <c r="A18" s="57" t="s">
        <v>59</v>
      </c>
      <c r="B18" s="59">
        <f>B16</f>
        <v>2</v>
      </c>
      <c r="C18" s="59">
        <f t="shared" ref="C18:M18" si="3">C16</f>
        <v>2</v>
      </c>
      <c r="D18" s="59">
        <f t="shared" si="3"/>
        <v>2</v>
      </c>
      <c r="E18" s="59">
        <f t="shared" si="3"/>
        <v>2</v>
      </c>
      <c r="F18" s="59">
        <f t="shared" si="3"/>
        <v>2</v>
      </c>
      <c r="G18" s="59">
        <f t="shared" si="3"/>
        <v>2</v>
      </c>
      <c r="H18" s="59">
        <f t="shared" si="3"/>
        <v>7</v>
      </c>
      <c r="I18" s="59">
        <f t="shared" si="3"/>
        <v>7</v>
      </c>
      <c r="J18" s="59">
        <f t="shared" si="3"/>
        <v>7</v>
      </c>
      <c r="K18" s="59">
        <f t="shared" si="3"/>
        <v>7</v>
      </c>
      <c r="L18" s="59">
        <f t="shared" si="3"/>
        <v>7</v>
      </c>
      <c r="M18" s="59">
        <f t="shared" si="3"/>
        <v>7</v>
      </c>
      <c r="N18" s="69">
        <f t="shared" si="2"/>
        <v>4.5</v>
      </c>
    </row>
    <row r="19" spans="1:14" ht="15">
      <c r="A19" s="57" t="s">
        <v>60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9"/>
    </row>
    <row r="20" spans="1:14" ht="15">
      <c r="A20" s="57" t="s">
        <v>268</v>
      </c>
      <c r="B20" s="59">
        <f>B21/SUM(B8:B15)</f>
        <v>55000</v>
      </c>
      <c r="C20" s="59">
        <f t="shared" ref="C20:M20" si="4">C21/SUM(C8:C15)</f>
        <v>55000</v>
      </c>
      <c r="D20" s="59">
        <f t="shared" si="4"/>
        <v>55000</v>
      </c>
      <c r="E20" s="59">
        <f t="shared" si="4"/>
        <v>55000</v>
      </c>
      <c r="F20" s="59">
        <f t="shared" si="4"/>
        <v>55000</v>
      </c>
      <c r="G20" s="59">
        <f t="shared" si="4"/>
        <v>55000</v>
      </c>
      <c r="H20" s="59">
        <f t="shared" si="4"/>
        <v>44285.714285714283</v>
      </c>
      <c r="I20" s="59">
        <f t="shared" si="4"/>
        <v>44285.714285714283</v>
      </c>
      <c r="J20" s="59">
        <f t="shared" si="4"/>
        <v>44285.714285714283</v>
      </c>
      <c r="K20" s="59">
        <f t="shared" si="4"/>
        <v>44285.714285714283</v>
      </c>
      <c r="L20" s="59">
        <f t="shared" si="4"/>
        <v>44285.714285714283</v>
      </c>
      <c r="M20" s="59">
        <f t="shared" si="4"/>
        <v>44285.714285714283</v>
      </c>
      <c r="N20" s="69">
        <f t="shared" si="2"/>
        <v>49642.857142857138</v>
      </c>
    </row>
    <row r="21" spans="1:14" ht="15">
      <c r="A21" s="57" t="s">
        <v>269</v>
      </c>
      <c r="B21" s="59">
        <f>'Кадры, ставки ЗП'!B5*B8+'Кадры, ставки ЗП'!B9*B9+'Кадры, ставки ЗП'!B10*B10+'Кадры, ставки ЗП'!B11*B11+'Кадры, ставки ЗП'!B12*B12+'Кадры, ставки ЗП'!B13*B13+'Кадры, ставки ЗП'!B14*B14+'Кадры, ставки ЗП'!B8*B15</f>
        <v>110000</v>
      </c>
      <c r="C21" s="59">
        <f>'Кадры, ставки ЗП'!C5*C8+'Кадры, ставки ЗП'!C9*C9+'Кадры, ставки ЗП'!C10*C10+'Кадры, ставки ЗП'!C11*C11+'Кадры, ставки ЗП'!C12*C12+'Кадры, ставки ЗП'!C13*C13+'Кадры, ставки ЗП'!C14*C14+'Кадры, ставки ЗП'!C8*C15</f>
        <v>110000</v>
      </c>
      <c r="D21" s="59">
        <f>'Кадры, ставки ЗП'!D5*D8+'Кадры, ставки ЗП'!D9*D9+'Кадры, ставки ЗП'!D10*D10+'Кадры, ставки ЗП'!D11*D11+'Кадры, ставки ЗП'!D12*D12+'Кадры, ставки ЗП'!D13*D13+'Кадры, ставки ЗП'!D14*D14+'Кадры, ставки ЗП'!D8*D15</f>
        <v>110000</v>
      </c>
      <c r="E21" s="59">
        <f>'Кадры, ставки ЗП'!E5*E8+'Кадры, ставки ЗП'!E9*E9+'Кадры, ставки ЗП'!E10*E10+'Кадры, ставки ЗП'!E11*E11+'Кадры, ставки ЗП'!E12*E12+'Кадры, ставки ЗП'!E13*E13+'Кадры, ставки ЗП'!E14*E14+'Кадры, ставки ЗП'!E8*E15</f>
        <v>110000</v>
      </c>
      <c r="F21" s="59">
        <f>'Кадры, ставки ЗП'!F5*F8+'Кадры, ставки ЗП'!F9*F9+'Кадры, ставки ЗП'!F10*F10+'Кадры, ставки ЗП'!F11*F11+'Кадры, ставки ЗП'!F12*F12+'Кадры, ставки ЗП'!F13*F13+'Кадры, ставки ЗП'!F14*F14+'Кадры, ставки ЗП'!F8*F15</f>
        <v>110000</v>
      </c>
      <c r="G21" s="59">
        <f>'Кадры, ставки ЗП'!G5*G8+'Кадры, ставки ЗП'!G9*G9+'Кадры, ставки ЗП'!G10*G10+'Кадры, ставки ЗП'!G11*G11+'Кадры, ставки ЗП'!G12*G12+'Кадры, ставки ЗП'!G13*G13+'Кадры, ставки ЗП'!G14*G14+'Кадры, ставки ЗП'!G8*G15</f>
        <v>110000</v>
      </c>
      <c r="H21" s="59">
        <f>'Кадры, ставки ЗП'!H5*H8+'Кадры, ставки ЗП'!H9*H9+'Кадры, ставки ЗП'!H10*H10+'Кадры, ставки ЗП'!H11*H11+'Кадры, ставки ЗП'!H12*H12+'Кадры, ставки ЗП'!H13*H13+'Кадры, ставки ЗП'!H14*H14+'Кадры, ставки ЗП'!H8*H15</f>
        <v>310000</v>
      </c>
      <c r="I21" s="59">
        <f>'Кадры, ставки ЗП'!I5*I8+'Кадры, ставки ЗП'!I9*I9+'Кадры, ставки ЗП'!I10*I10+'Кадры, ставки ЗП'!I11*I11+'Кадры, ставки ЗП'!I12*I12+'Кадры, ставки ЗП'!I13*I13+'Кадры, ставки ЗП'!I14*I14+'Кадры, ставки ЗП'!I8*I15</f>
        <v>310000</v>
      </c>
      <c r="J21" s="59">
        <f>'Кадры, ставки ЗП'!J5*J8+'Кадры, ставки ЗП'!J9*J9+'Кадры, ставки ЗП'!J10*J10+'Кадры, ставки ЗП'!J11*J11+'Кадры, ставки ЗП'!J12*J12+'Кадры, ставки ЗП'!J13*J13+'Кадры, ставки ЗП'!J14*J14+'Кадры, ставки ЗП'!J8*J15</f>
        <v>310000</v>
      </c>
      <c r="K21" s="59">
        <f>'Кадры, ставки ЗП'!K5*K8+'Кадры, ставки ЗП'!K9*K9+'Кадры, ставки ЗП'!K10*K10+'Кадры, ставки ЗП'!K11*K11+'Кадры, ставки ЗП'!K12*K12+'Кадры, ставки ЗП'!K13*K13+'Кадры, ставки ЗП'!K14*K14+'Кадры, ставки ЗП'!K8*K15</f>
        <v>310000</v>
      </c>
      <c r="L21" s="59">
        <f>'Кадры, ставки ЗП'!L5*L8+'Кадры, ставки ЗП'!L9*L9+'Кадры, ставки ЗП'!L10*L10+'Кадры, ставки ЗП'!L11*L11+'Кадры, ставки ЗП'!L12*L12+'Кадры, ставки ЗП'!L13*L13+'Кадры, ставки ЗП'!L14*L14+'Кадры, ставки ЗП'!L8*L15</f>
        <v>310000</v>
      </c>
      <c r="M21" s="59">
        <f>'Кадры, ставки ЗП'!M5*M8+'Кадры, ставки ЗП'!M9*M9+'Кадры, ставки ЗП'!M10*M10+'Кадры, ставки ЗП'!M11*M11+'Кадры, ставки ЗП'!M12*M12+'Кадры, ставки ЗП'!M13*M13+'Кадры, ставки ЗП'!M14*M14+'Кадры, ставки ЗП'!M8*M15</f>
        <v>310000</v>
      </c>
      <c r="N21" s="69">
        <f>SUM(B21:M21)</f>
        <v>2520000</v>
      </c>
    </row>
    <row r="22" spans="1:14" ht="15">
      <c r="A22" s="57" t="s">
        <v>270</v>
      </c>
      <c r="B22" s="61">
        <f>B21/100*30.2</f>
        <v>33220</v>
      </c>
      <c r="C22" s="61">
        <f t="shared" ref="C22:M22" si="5">C21/100*30.2</f>
        <v>33220</v>
      </c>
      <c r="D22" s="61">
        <f t="shared" si="5"/>
        <v>33220</v>
      </c>
      <c r="E22" s="61">
        <f t="shared" si="5"/>
        <v>33220</v>
      </c>
      <c r="F22" s="61">
        <f t="shared" si="5"/>
        <v>33220</v>
      </c>
      <c r="G22" s="61">
        <f t="shared" si="5"/>
        <v>33220</v>
      </c>
      <c r="H22" s="61">
        <f t="shared" si="5"/>
        <v>93620</v>
      </c>
      <c r="I22" s="61">
        <f t="shared" si="5"/>
        <v>93620</v>
      </c>
      <c r="J22" s="61">
        <f t="shared" si="5"/>
        <v>93620</v>
      </c>
      <c r="K22" s="61">
        <f t="shared" si="5"/>
        <v>93620</v>
      </c>
      <c r="L22" s="61">
        <f t="shared" si="5"/>
        <v>93620</v>
      </c>
      <c r="M22" s="61">
        <f t="shared" si="5"/>
        <v>93620</v>
      </c>
      <c r="N22" s="69">
        <f>SUM(B22:M22)</f>
        <v>761040</v>
      </c>
    </row>
    <row r="25" spans="1:14">
      <c r="A25" s="283" t="s">
        <v>57</v>
      </c>
      <c r="B25" s="284">
        <f>B5+1</f>
        <v>2</v>
      </c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</row>
    <row r="26" spans="1:14">
      <c r="A26" s="283"/>
      <c r="B26" s="284" t="s">
        <v>52</v>
      </c>
      <c r="C26" s="284"/>
      <c r="D26" s="284"/>
      <c r="E26" s="284" t="s">
        <v>52</v>
      </c>
      <c r="F26" s="284"/>
      <c r="G26" s="284"/>
      <c r="H26" s="284" t="s">
        <v>52</v>
      </c>
      <c r="I26" s="284"/>
      <c r="J26" s="284"/>
      <c r="K26" s="284" t="s">
        <v>52</v>
      </c>
      <c r="L26" s="284"/>
      <c r="M26" s="284"/>
      <c r="N26" s="284" t="s">
        <v>53</v>
      </c>
    </row>
    <row r="27" spans="1:14">
      <c r="A27" s="283"/>
      <c r="B27" s="70">
        <v>1</v>
      </c>
      <c r="C27" s="70">
        <v>2</v>
      </c>
      <c r="D27" s="70">
        <v>3</v>
      </c>
      <c r="E27" s="70">
        <v>4</v>
      </c>
      <c r="F27" s="70">
        <v>5</v>
      </c>
      <c r="G27" s="70">
        <v>6</v>
      </c>
      <c r="H27" s="70">
        <v>7</v>
      </c>
      <c r="I27" s="70">
        <v>8</v>
      </c>
      <c r="J27" s="70">
        <v>9</v>
      </c>
      <c r="K27" s="70">
        <v>10</v>
      </c>
      <c r="L27" s="70">
        <v>11</v>
      </c>
      <c r="M27" s="70">
        <v>12</v>
      </c>
      <c r="N27" s="284"/>
    </row>
    <row r="28" spans="1:14" ht="15">
      <c r="A28" s="74" t="str">
        <f>A8</f>
        <v>CCO Исполнительный директор/руководитель проекта</v>
      </c>
      <c r="B28" s="75">
        <v>1</v>
      </c>
      <c r="C28" s="75">
        <v>1</v>
      </c>
      <c r="D28" s="75">
        <v>1</v>
      </c>
      <c r="E28" s="75">
        <v>1</v>
      </c>
      <c r="F28" s="75">
        <v>1</v>
      </c>
      <c r="G28" s="75">
        <v>1</v>
      </c>
      <c r="H28" s="75">
        <v>1</v>
      </c>
      <c r="I28" s="75">
        <v>1</v>
      </c>
      <c r="J28" s="75">
        <v>1</v>
      </c>
      <c r="K28" s="75">
        <v>1</v>
      </c>
      <c r="L28" s="75">
        <v>1</v>
      </c>
      <c r="M28" s="75">
        <v>1</v>
      </c>
      <c r="N28" s="68">
        <f>SUM(B28:M28)/12</f>
        <v>1</v>
      </c>
    </row>
    <row r="29" spans="1:14" ht="15">
      <c r="A29" s="74" t="str">
        <f t="shared" ref="A29:A35" si="6">A9</f>
        <v>Руководитель сервиса</v>
      </c>
      <c r="B29" s="75">
        <v>1</v>
      </c>
      <c r="C29" s="75">
        <v>1</v>
      </c>
      <c r="D29" s="75">
        <v>1</v>
      </c>
      <c r="E29" s="75">
        <v>1</v>
      </c>
      <c r="F29" s="75">
        <v>1</v>
      </c>
      <c r="G29" s="75">
        <v>1</v>
      </c>
      <c r="H29" s="75">
        <v>1</v>
      </c>
      <c r="I29" s="75">
        <v>1</v>
      </c>
      <c r="J29" s="75">
        <v>1</v>
      </c>
      <c r="K29" s="75">
        <v>1</v>
      </c>
      <c r="L29" s="75">
        <v>1</v>
      </c>
      <c r="M29" s="75">
        <v>1</v>
      </c>
      <c r="N29" s="68">
        <f t="shared" ref="N29:N35" si="7">SUM(B29:M29)/12</f>
        <v>1</v>
      </c>
    </row>
    <row r="30" spans="1:14" ht="15">
      <c r="A30" s="74" t="str">
        <f t="shared" si="6"/>
        <v>Программист / team leader</v>
      </c>
      <c r="B30" s="75">
        <v>2</v>
      </c>
      <c r="C30" s="75">
        <v>2</v>
      </c>
      <c r="D30" s="75">
        <v>2</v>
      </c>
      <c r="E30" s="75">
        <v>2</v>
      </c>
      <c r="F30" s="75">
        <v>2</v>
      </c>
      <c r="G30" s="75">
        <v>2</v>
      </c>
      <c r="H30" s="75">
        <v>2</v>
      </c>
      <c r="I30" s="75">
        <v>2</v>
      </c>
      <c r="J30" s="75">
        <v>2</v>
      </c>
      <c r="K30" s="75">
        <v>2</v>
      </c>
      <c r="L30" s="75">
        <v>2</v>
      </c>
      <c r="M30" s="75">
        <v>2</v>
      </c>
      <c r="N30" s="68">
        <f t="shared" si="7"/>
        <v>2</v>
      </c>
    </row>
    <row r="31" spans="1:14" ht="15">
      <c r="A31" s="74" t="str">
        <f t="shared" si="6"/>
        <v>Администратор/секретарь</v>
      </c>
      <c r="B31" s="75">
        <v>1</v>
      </c>
      <c r="C31" s="75">
        <v>1</v>
      </c>
      <c r="D31" s="75">
        <v>1</v>
      </c>
      <c r="E31" s="75">
        <v>1</v>
      </c>
      <c r="F31" s="75">
        <v>1</v>
      </c>
      <c r="G31" s="75">
        <v>1</v>
      </c>
      <c r="H31" s="75">
        <v>1</v>
      </c>
      <c r="I31" s="75">
        <v>1</v>
      </c>
      <c r="J31" s="75">
        <v>1</v>
      </c>
      <c r="K31" s="75">
        <v>1</v>
      </c>
      <c r="L31" s="75">
        <v>1</v>
      </c>
      <c r="M31" s="75">
        <v>1</v>
      </c>
      <c r="N31" s="68">
        <f t="shared" si="7"/>
        <v>1</v>
      </c>
    </row>
    <row r="32" spans="1:14" ht="15">
      <c r="A32" s="74" t="str">
        <f t="shared" si="6"/>
        <v>PR-менеджер</v>
      </c>
      <c r="B32" s="75">
        <v>1</v>
      </c>
      <c r="C32" s="75">
        <v>1</v>
      </c>
      <c r="D32" s="75">
        <v>1</v>
      </c>
      <c r="E32" s="75">
        <v>1</v>
      </c>
      <c r="F32" s="75">
        <v>1</v>
      </c>
      <c r="G32" s="75">
        <v>1</v>
      </c>
      <c r="H32" s="75">
        <v>1</v>
      </c>
      <c r="I32" s="75">
        <v>1</v>
      </c>
      <c r="J32" s="75">
        <v>1</v>
      </c>
      <c r="K32" s="75">
        <v>1</v>
      </c>
      <c r="L32" s="75">
        <v>1</v>
      </c>
      <c r="M32" s="75">
        <v>1</v>
      </c>
      <c r="N32" s="68">
        <f t="shared" si="7"/>
        <v>1</v>
      </c>
    </row>
    <row r="33" spans="1:14" ht="15">
      <c r="A33" s="74" t="str">
        <f t="shared" si="6"/>
        <v>Начальник отдела продаж</v>
      </c>
      <c r="B33" s="75">
        <v>1</v>
      </c>
      <c r="C33" s="75">
        <v>1</v>
      </c>
      <c r="D33" s="75">
        <v>1</v>
      </c>
      <c r="E33" s="75">
        <v>1</v>
      </c>
      <c r="F33" s="75">
        <v>1</v>
      </c>
      <c r="G33" s="75">
        <v>1</v>
      </c>
      <c r="H33" s="75">
        <v>1</v>
      </c>
      <c r="I33" s="75">
        <v>1</v>
      </c>
      <c r="J33" s="75">
        <v>1</v>
      </c>
      <c r="K33" s="75">
        <v>1</v>
      </c>
      <c r="L33" s="75">
        <v>1</v>
      </c>
      <c r="M33" s="75">
        <v>1</v>
      </c>
      <c r="N33" s="68">
        <f t="shared" si="7"/>
        <v>1</v>
      </c>
    </row>
    <row r="34" spans="1:14" ht="15">
      <c r="A34" s="74" t="str">
        <f t="shared" si="6"/>
        <v>Менеджер (отдел продаж)</v>
      </c>
      <c r="B34" s="75">
        <v>3</v>
      </c>
      <c r="C34" s="75">
        <v>3</v>
      </c>
      <c r="D34" s="75">
        <v>3</v>
      </c>
      <c r="E34" s="75">
        <v>3</v>
      </c>
      <c r="F34" s="75">
        <v>3</v>
      </c>
      <c r="G34" s="75">
        <v>3</v>
      </c>
      <c r="H34" s="75">
        <v>3</v>
      </c>
      <c r="I34" s="75">
        <v>3</v>
      </c>
      <c r="J34" s="75">
        <v>3</v>
      </c>
      <c r="K34" s="75">
        <v>3</v>
      </c>
      <c r="L34" s="75">
        <v>3</v>
      </c>
      <c r="M34" s="75">
        <v>3</v>
      </c>
      <c r="N34" s="68">
        <f t="shared" si="7"/>
        <v>3</v>
      </c>
    </row>
    <row r="35" spans="1:14" ht="15">
      <c r="A35" s="74" t="str">
        <f t="shared" si="6"/>
        <v>Инженер-разработчик (R&amp;D)</v>
      </c>
      <c r="B35" s="75">
        <v>2</v>
      </c>
      <c r="C35" s="75">
        <v>2</v>
      </c>
      <c r="D35" s="75">
        <v>2</v>
      </c>
      <c r="E35" s="75">
        <v>2</v>
      </c>
      <c r="F35" s="75">
        <v>2</v>
      </c>
      <c r="G35" s="75">
        <v>2</v>
      </c>
      <c r="H35" s="75">
        <v>2</v>
      </c>
      <c r="I35" s="75">
        <v>2</v>
      </c>
      <c r="J35" s="75">
        <v>2</v>
      </c>
      <c r="K35" s="75">
        <v>2</v>
      </c>
      <c r="L35" s="75">
        <v>2</v>
      </c>
      <c r="M35" s="75">
        <v>2</v>
      </c>
      <c r="N35" s="68">
        <f t="shared" si="7"/>
        <v>2</v>
      </c>
    </row>
    <row r="36" spans="1:14" ht="15">
      <c r="A36" s="57" t="s">
        <v>72</v>
      </c>
      <c r="B36" s="59">
        <f>SUM(B28:B35)</f>
        <v>12</v>
      </c>
      <c r="C36" s="59">
        <f t="shared" ref="C36:M36" si="8">SUM(C28:C35)</f>
        <v>12</v>
      </c>
      <c r="D36" s="59">
        <f t="shared" si="8"/>
        <v>12</v>
      </c>
      <c r="E36" s="59">
        <f t="shared" si="8"/>
        <v>12</v>
      </c>
      <c r="F36" s="59">
        <f t="shared" si="8"/>
        <v>12</v>
      </c>
      <c r="G36" s="59">
        <f t="shared" si="8"/>
        <v>12</v>
      </c>
      <c r="H36" s="59">
        <f t="shared" si="8"/>
        <v>12</v>
      </c>
      <c r="I36" s="59">
        <f t="shared" si="8"/>
        <v>12</v>
      </c>
      <c r="J36" s="59">
        <f t="shared" si="8"/>
        <v>12</v>
      </c>
      <c r="K36" s="59">
        <f t="shared" si="8"/>
        <v>12</v>
      </c>
      <c r="L36" s="59">
        <f t="shared" si="8"/>
        <v>12</v>
      </c>
      <c r="M36" s="59">
        <f t="shared" si="8"/>
        <v>12</v>
      </c>
      <c r="N36" s="69">
        <f t="shared" ref="N36" si="9">SUM(B36:M36)/12</f>
        <v>12</v>
      </c>
    </row>
    <row r="37" spans="1:14" ht="15">
      <c r="A37" s="58" t="s">
        <v>58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</row>
    <row r="38" spans="1:14" ht="15">
      <c r="A38" s="57" t="s">
        <v>59</v>
      </c>
      <c r="B38" s="59">
        <f>B36</f>
        <v>12</v>
      </c>
      <c r="C38" s="59">
        <f t="shared" ref="C38:M38" si="10">C36</f>
        <v>12</v>
      </c>
      <c r="D38" s="59">
        <f t="shared" si="10"/>
        <v>12</v>
      </c>
      <c r="E38" s="59">
        <f t="shared" si="10"/>
        <v>12</v>
      </c>
      <c r="F38" s="59">
        <f t="shared" si="10"/>
        <v>12</v>
      </c>
      <c r="G38" s="59">
        <f t="shared" si="10"/>
        <v>12</v>
      </c>
      <c r="H38" s="59">
        <f t="shared" si="10"/>
        <v>12</v>
      </c>
      <c r="I38" s="59">
        <f t="shared" si="10"/>
        <v>12</v>
      </c>
      <c r="J38" s="59">
        <f t="shared" si="10"/>
        <v>12</v>
      </c>
      <c r="K38" s="59">
        <f t="shared" si="10"/>
        <v>12</v>
      </c>
      <c r="L38" s="59">
        <f t="shared" si="10"/>
        <v>12</v>
      </c>
      <c r="M38" s="59">
        <f t="shared" si="10"/>
        <v>12</v>
      </c>
      <c r="N38" s="69">
        <f t="shared" ref="N38" si="11">SUM(B38:M38)/12</f>
        <v>12</v>
      </c>
    </row>
    <row r="39" spans="1:14" ht="15">
      <c r="A39" s="57" t="s">
        <v>60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1:14" ht="15">
      <c r="A40" s="57" t="s">
        <v>268</v>
      </c>
      <c r="B40" s="59">
        <f>B41/SUM(B28:B35)</f>
        <v>45000</v>
      </c>
      <c r="C40" s="59">
        <f t="shared" ref="C40:M40" si="12">C41/SUM(C28:C35)</f>
        <v>45000</v>
      </c>
      <c r="D40" s="59">
        <f t="shared" si="12"/>
        <v>45000</v>
      </c>
      <c r="E40" s="59">
        <f t="shared" si="12"/>
        <v>45000</v>
      </c>
      <c r="F40" s="59">
        <f t="shared" si="12"/>
        <v>45000</v>
      </c>
      <c r="G40" s="59">
        <f t="shared" si="12"/>
        <v>45000</v>
      </c>
      <c r="H40" s="59">
        <f t="shared" si="12"/>
        <v>45000</v>
      </c>
      <c r="I40" s="59">
        <f t="shared" si="12"/>
        <v>45000</v>
      </c>
      <c r="J40" s="59">
        <f t="shared" si="12"/>
        <v>45000</v>
      </c>
      <c r="K40" s="59">
        <f t="shared" si="12"/>
        <v>45000</v>
      </c>
      <c r="L40" s="59">
        <f t="shared" si="12"/>
        <v>45000</v>
      </c>
      <c r="M40" s="59">
        <f t="shared" si="12"/>
        <v>45000</v>
      </c>
      <c r="N40" s="69">
        <f t="shared" ref="N40" si="13">SUM(B40:M40)/12</f>
        <v>45000</v>
      </c>
    </row>
    <row r="41" spans="1:14" ht="15">
      <c r="A41" s="57" t="s">
        <v>269</v>
      </c>
      <c r="B41" s="59">
        <f>'Кадры, ставки ЗП'!B5*B28+'Кадры, ставки ЗП'!B9*B29+'Кадры, ставки ЗП'!B10*B30+'Кадры, ставки ЗП'!B11*B31+'Кадры, ставки ЗП'!B12*B32+'Кадры, ставки ЗП'!B13*B33+'Кадры, ставки ЗП'!B14*B34+'Кадры, ставки ЗП'!B8*B35</f>
        <v>540000</v>
      </c>
      <c r="C41" s="59">
        <f>'Кадры, ставки ЗП'!C5*C28+'Кадры, ставки ЗП'!C9*C29+'Кадры, ставки ЗП'!C10*C30+'Кадры, ставки ЗП'!C11*C31+'Кадры, ставки ЗП'!C12*C32+'Кадры, ставки ЗП'!C13*C33+'Кадры, ставки ЗП'!C14*C34+'Кадры, ставки ЗП'!C8*C35</f>
        <v>540000</v>
      </c>
      <c r="D41" s="59">
        <f>'Кадры, ставки ЗП'!D5*D28+'Кадры, ставки ЗП'!D9*D29+'Кадры, ставки ЗП'!D10*D30+'Кадры, ставки ЗП'!D11*D31+'Кадры, ставки ЗП'!D12*D32+'Кадры, ставки ЗП'!D13*D33+'Кадры, ставки ЗП'!D14*D34+'Кадры, ставки ЗП'!D8*D35</f>
        <v>540000</v>
      </c>
      <c r="E41" s="59">
        <f>'Кадры, ставки ЗП'!E5*E28+'Кадры, ставки ЗП'!E9*E29+'Кадры, ставки ЗП'!E10*E30+'Кадры, ставки ЗП'!E11*E31+'Кадры, ставки ЗП'!E12*E32+'Кадры, ставки ЗП'!E13*E33+'Кадры, ставки ЗП'!E14*E34+'Кадры, ставки ЗП'!E8*E35</f>
        <v>540000</v>
      </c>
      <c r="F41" s="59">
        <f>'Кадры, ставки ЗП'!F5*F28+'Кадры, ставки ЗП'!F9*F29+'Кадры, ставки ЗП'!F10*F30+'Кадры, ставки ЗП'!F11*F31+'Кадры, ставки ЗП'!F12*F32+'Кадры, ставки ЗП'!F13*F33+'Кадры, ставки ЗП'!F14*F34+'Кадры, ставки ЗП'!F8*F35</f>
        <v>540000</v>
      </c>
      <c r="G41" s="59">
        <f>'Кадры, ставки ЗП'!G5*G28+'Кадры, ставки ЗП'!G9*G29+'Кадры, ставки ЗП'!G10*G30+'Кадры, ставки ЗП'!G11*G31+'Кадры, ставки ЗП'!G12*G32+'Кадры, ставки ЗП'!G13*G33+'Кадры, ставки ЗП'!G14*G34+'Кадры, ставки ЗП'!G8*G35</f>
        <v>540000</v>
      </c>
      <c r="H41" s="59">
        <f>'Кадры, ставки ЗП'!H5*H28+'Кадры, ставки ЗП'!H9*H29+'Кадры, ставки ЗП'!H10*H30+'Кадры, ставки ЗП'!H11*H31+'Кадры, ставки ЗП'!H12*H32+'Кадры, ставки ЗП'!H13*H33+'Кадры, ставки ЗП'!H14*H34+'Кадры, ставки ЗП'!H8*H35</f>
        <v>540000</v>
      </c>
      <c r="I41" s="59">
        <f>'Кадры, ставки ЗП'!I5*I28+'Кадры, ставки ЗП'!I9*I29+'Кадры, ставки ЗП'!I10*I30+'Кадры, ставки ЗП'!I11*I31+'Кадры, ставки ЗП'!I12*I32+'Кадры, ставки ЗП'!I13*I33+'Кадры, ставки ЗП'!I14*I34+'Кадры, ставки ЗП'!I8*I35</f>
        <v>540000</v>
      </c>
      <c r="J41" s="59">
        <f>'Кадры, ставки ЗП'!J5*J28+'Кадры, ставки ЗП'!J9*J29+'Кадры, ставки ЗП'!J10*J30+'Кадры, ставки ЗП'!J11*J31+'Кадры, ставки ЗП'!J12*J32+'Кадры, ставки ЗП'!J13*J33+'Кадры, ставки ЗП'!J14*J34+'Кадры, ставки ЗП'!J8*J35</f>
        <v>540000</v>
      </c>
      <c r="K41" s="59">
        <f>'Кадры, ставки ЗП'!K5*K28+'Кадры, ставки ЗП'!K9*K29+'Кадры, ставки ЗП'!K10*K30+'Кадры, ставки ЗП'!K11*K31+'Кадры, ставки ЗП'!K12*K32+'Кадры, ставки ЗП'!K13*K33+'Кадры, ставки ЗП'!K14*K34+'Кадры, ставки ЗП'!K8*K35</f>
        <v>540000</v>
      </c>
      <c r="L41" s="59">
        <f>'Кадры, ставки ЗП'!L5*L28+'Кадры, ставки ЗП'!L9*L29+'Кадры, ставки ЗП'!L10*L30+'Кадры, ставки ЗП'!L11*L31+'Кадры, ставки ЗП'!L12*L32+'Кадры, ставки ЗП'!L13*L33+'Кадры, ставки ЗП'!L14*L34+'Кадры, ставки ЗП'!L8*L35</f>
        <v>540000</v>
      </c>
      <c r="M41" s="59">
        <f>'Кадры, ставки ЗП'!M5*M28+'Кадры, ставки ЗП'!M9*M29+'Кадры, ставки ЗП'!M10*M30+'Кадры, ставки ЗП'!M11*M31+'Кадры, ставки ЗП'!M12*M32+'Кадры, ставки ЗП'!M13*M33+'Кадры, ставки ЗП'!M14*M34+'Кадры, ставки ЗП'!M8*M35</f>
        <v>540000</v>
      </c>
      <c r="N41" s="69">
        <f>SUM(B41:M41)</f>
        <v>6480000</v>
      </c>
    </row>
    <row r="42" spans="1:14" ht="15">
      <c r="A42" s="57" t="s">
        <v>270</v>
      </c>
      <c r="B42" s="61">
        <f>B41/100*30.2</f>
        <v>163080</v>
      </c>
      <c r="C42" s="61">
        <f t="shared" ref="C42:D42" si="14">C41/100*30.2</f>
        <v>163080</v>
      </c>
      <c r="D42" s="61">
        <f t="shared" si="14"/>
        <v>163080</v>
      </c>
      <c r="E42" s="61">
        <f>E41/100*30.2</f>
        <v>163080</v>
      </c>
      <c r="F42" s="61">
        <f t="shared" ref="F42:G42" si="15">F41/100*30.2</f>
        <v>163080</v>
      </c>
      <c r="G42" s="61">
        <f t="shared" si="15"/>
        <v>163080</v>
      </c>
      <c r="H42" s="61">
        <f>H41/100*30.2</f>
        <v>163080</v>
      </c>
      <c r="I42" s="61">
        <f t="shared" ref="I42:J42" si="16">I41/100*30.2</f>
        <v>163080</v>
      </c>
      <c r="J42" s="61">
        <f t="shared" si="16"/>
        <v>163080</v>
      </c>
      <c r="K42" s="61">
        <f>K41/100*30.2</f>
        <v>163080</v>
      </c>
      <c r="L42" s="61">
        <f t="shared" ref="L42:M42" si="17">L41/100*30.2</f>
        <v>163080</v>
      </c>
      <c r="M42" s="61">
        <f t="shared" si="17"/>
        <v>163080</v>
      </c>
      <c r="N42" s="69">
        <f>SUM(B42:M42)</f>
        <v>1956960</v>
      </c>
    </row>
    <row r="45" spans="1:14">
      <c r="A45" s="283" t="s">
        <v>57</v>
      </c>
      <c r="B45" s="284">
        <f>B25+1</f>
        <v>3</v>
      </c>
      <c r="C45" s="284"/>
      <c r="D45" s="284"/>
      <c r="E45" s="284"/>
      <c r="F45" s="284"/>
      <c r="G45" s="284"/>
      <c r="H45" s="284"/>
      <c r="I45" s="284"/>
      <c r="J45" s="284"/>
      <c r="K45" s="284"/>
      <c r="L45" s="284"/>
      <c r="M45" s="284"/>
      <c r="N45" s="284"/>
    </row>
    <row r="46" spans="1:14">
      <c r="A46" s="283"/>
      <c r="B46" s="284" t="s">
        <v>52</v>
      </c>
      <c r="C46" s="284"/>
      <c r="D46" s="284"/>
      <c r="E46" s="284" t="s">
        <v>52</v>
      </c>
      <c r="F46" s="284"/>
      <c r="G46" s="284"/>
      <c r="H46" s="284" t="s">
        <v>52</v>
      </c>
      <c r="I46" s="284"/>
      <c r="J46" s="284"/>
      <c r="K46" s="284" t="s">
        <v>52</v>
      </c>
      <c r="L46" s="284"/>
      <c r="M46" s="284"/>
      <c r="N46" s="284" t="s">
        <v>53</v>
      </c>
    </row>
    <row r="47" spans="1:14">
      <c r="A47" s="283"/>
      <c r="B47" s="70">
        <v>1</v>
      </c>
      <c r="C47" s="70">
        <v>2</v>
      </c>
      <c r="D47" s="70">
        <v>3</v>
      </c>
      <c r="E47" s="70">
        <v>4</v>
      </c>
      <c r="F47" s="70">
        <v>5</v>
      </c>
      <c r="G47" s="70">
        <v>6</v>
      </c>
      <c r="H47" s="70">
        <v>7</v>
      </c>
      <c r="I47" s="70">
        <v>8</v>
      </c>
      <c r="J47" s="70">
        <v>9</v>
      </c>
      <c r="K47" s="70">
        <v>10</v>
      </c>
      <c r="L47" s="70">
        <v>11</v>
      </c>
      <c r="M47" s="70">
        <v>12</v>
      </c>
      <c r="N47" s="284"/>
    </row>
    <row r="48" spans="1:14" ht="15">
      <c r="A48" s="74" t="str">
        <f>A28</f>
        <v>CCO Исполнительный директор/руководитель проекта</v>
      </c>
      <c r="B48" s="75">
        <v>1</v>
      </c>
      <c r="C48" s="75">
        <v>1</v>
      </c>
      <c r="D48" s="75">
        <v>1</v>
      </c>
      <c r="E48" s="75">
        <v>1</v>
      </c>
      <c r="F48" s="75">
        <v>1</v>
      </c>
      <c r="G48" s="75">
        <v>1</v>
      </c>
      <c r="H48" s="75">
        <v>1</v>
      </c>
      <c r="I48" s="75">
        <v>1</v>
      </c>
      <c r="J48" s="75">
        <v>1</v>
      </c>
      <c r="K48" s="75">
        <v>1</v>
      </c>
      <c r="L48" s="75">
        <v>1</v>
      </c>
      <c r="M48" s="75">
        <v>1</v>
      </c>
      <c r="N48" s="68">
        <f>SUM(B48:M48)/12</f>
        <v>1</v>
      </c>
    </row>
    <row r="49" spans="1:14" ht="15">
      <c r="A49" s="74" t="str">
        <f t="shared" ref="A49:A55" si="18">A29</f>
        <v>Руководитель сервиса</v>
      </c>
      <c r="B49" s="75">
        <v>1</v>
      </c>
      <c r="C49" s="75">
        <v>1</v>
      </c>
      <c r="D49" s="75">
        <v>1</v>
      </c>
      <c r="E49" s="75">
        <v>1</v>
      </c>
      <c r="F49" s="75">
        <v>1</v>
      </c>
      <c r="G49" s="75">
        <v>1</v>
      </c>
      <c r="H49" s="75">
        <v>1</v>
      </c>
      <c r="I49" s="75">
        <v>1</v>
      </c>
      <c r="J49" s="75">
        <v>1</v>
      </c>
      <c r="K49" s="75">
        <v>1</v>
      </c>
      <c r="L49" s="75">
        <v>1</v>
      </c>
      <c r="M49" s="75">
        <v>1</v>
      </c>
      <c r="N49" s="68">
        <f t="shared" ref="N49:N55" si="19">SUM(B49:M49)/12</f>
        <v>1</v>
      </c>
    </row>
    <row r="50" spans="1:14" ht="15">
      <c r="A50" s="74" t="str">
        <f t="shared" si="18"/>
        <v>Программист / team leader</v>
      </c>
      <c r="B50" s="75">
        <v>3</v>
      </c>
      <c r="C50" s="75">
        <v>3</v>
      </c>
      <c r="D50" s="75">
        <v>3</v>
      </c>
      <c r="E50" s="75">
        <v>3</v>
      </c>
      <c r="F50" s="75">
        <v>3</v>
      </c>
      <c r="G50" s="75">
        <v>3</v>
      </c>
      <c r="H50" s="75">
        <v>3</v>
      </c>
      <c r="I50" s="75">
        <v>3</v>
      </c>
      <c r="J50" s="75">
        <v>3</v>
      </c>
      <c r="K50" s="75">
        <v>3</v>
      </c>
      <c r="L50" s="75">
        <v>3</v>
      </c>
      <c r="M50" s="75">
        <v>3</v>
      </c>
      <c r="N50" s="68">
        <f t="shared" si="19"/>
        <v>3</v>
      </c>
    </row>
    <row r="51" spans="1:14" ht="15">
      <c r="A51" s="74" t="str">
        <f t="shared" si="18"/>
        <v>Администратор/секретарь</v>
      </c>
      <c r="B51" s="75">
        <v>1</v>
      </c>
      <c r="C51" s="75">
        <v>1</v>
      </c>
      <c r="D51" s="75">
        <v>1</v>
      </c>
      <c r="E51" s="75">
        <v>1</v>
      </c>
      <c r="F51" s="75">
        <v>1</v>
      </c>
      <c r="G51" s="75">
        <v>1</v>
      </c>
      <c r="H51" s="75">
        <v>1</v>
      </c>
      <c r="I51" s="75">
        <v>1</v>
      </c>
      <c r="J51" s="75">
        <v>1</v>
      </c>
      <c r="K51" s="75">
        <v>1</v>
      </c>
      <c r="L51" s="75">
        <v>1</v>
      </c>
      <c r="M51" s="75">
        <v>1</v>
      </c>
      <c r="N51" s="68">
        <f t="shared" si="19"/>
        <v>1</v>
      </c>
    </row>
    <row r="52" spans="1:14" ht="15">
      <c r="A52" s="74" t="str">
        <f t="shared" si="18"/>
        <v>PR-менеджер</v>
      </c>
      <c r="B52" s="75">
        <v>2</v>
      </c>
      <c r="C52" s="75">
        <v>2</v>
      </c>
      <c r="D52" s="75">
        <v>2</v>
      </c>
      <c r="E52" s="75">
        <v>2</v>
      </c>
      <c r="F52" s="75">
        <v>2</v>
      </c>
      <c r="G52" s="75">
        <v>2</v>
      </c>
      <c r="H52" s="75">
        <v>2</v>
      </c>
      <c r="I52" s="75">
        <v>2</v>
      </c>
      <c r="J52" s="75">
        <v>2</v>
      </c>
      <c r="K52" s="75">
        <v>2</v>
      </c>
      <c r="L52" s="75">
        <v>2</v>
      </c>
      <c r="M52" s="75">
        <v>2</v>
      </c>
      <c r="N52" s="68">
        <f t="shared" si="19"/>
        <v>2</v>
      </c>
    </row>
    <row r="53" spans="1:14" ht="15">
      <c r="A53" s="74" t="str">
        <f t="shared" si="18"/>
        <v>Начальник отдела продаж</v>
      </c>
      <c r="B53" s="75">
        <v>1</v>
      </c>
      <c r="C53" s="75">
        <v>1</v>
      </c>
      <c r="D53" s="75">
        <v>1</v>
      </c>
      <c r="E53" s="75">
        <v>1</v>
      </c>
      <c r="F53" s="75">
        <v>1</v>
      </c>
      <c r="G53" s="75">
        <v>1</v>
      </c>
      <c r="H53" s="75">
        <v>1</v>
      </c>
      <c r="I53" s="75">
        <v>1</v>
      </c>
      <c r="J53" s="75">
        <v>1</v>
      </c>
      <c r="K53" s="75">
        <v>1</v>
      </c>
      <c r="L53" s="75">
        <v>1</v>
      </c>
      <c r="M53" s="75">
        <v>1</v>
      </c>
      <c r="N53" s="68">
        <f t="shared" si="19"/>
        <v>1</v>
      </c>
    </row>
    <row r="54" spans="1:14" ht="15">
      <c r="A54" s="74" t="str">
        <f t="shared" si="18"/>
        <v>Менеджер (отдел продаж)</v>
      </c>
      <c r="B54" s="75">
        <v>3</v>
      </c>
      <c r="C54" s="75">
        <v>3</v>
      </c>
      <c r="D54" s="75">
        <v>3</v>
      </c>
      <c r="E54" s="75">
        <v>3</v>
      </c>
      <c r="F54" s="75">
        <v>3</v>
      </c>
      <c r="G54" s="75">
        <v>3</v>
      </c>
      <c r="H54" s="75">
        <v>3</v>
      </c>
      <c r="I54" s="75">
        <v>3</v>
      </c>
      <c r="J54" s="75">
        <v>3</v>
      </c>
      <c r="K54" s="75">
        <v>3</v>
      </c>
      <c r="L54" s="75">
        <v>3</v>
      </c>
      <c r="M54" s="75">
        <v>3</v>
      </c>
      <c r="N54" s="68">
        <f t="shared" si="19"/>
        <v>3</v>
      </c>
    </row>
    <row r="55" spans="1:14" ht="15">
      <c r="A55" s="74" t="str">
        <f t="shared" si="18"/>
        <v>Инженер-разработчик (R&amp;D)</v>
      </c>
      <c r="B55" s="75">
        <v>3</v>
      </c>
      <c r="C55" s="75">
        <v>3</v>
      </c>
      <c r="D55" s="75">
        <v>3</v>
      </c>
      <c r="E55" s="75">
        <v>3</v>
      </c>
      <c r="F55" s="75">
        <v>3</v>
      </c>
      <c r="G55" s="75">
        <v>3</v>
      </c>
      <c r="H55" s="75">
        <v>3</v>
      </c>
      <c r="I55" s="75">
        <v>3</v>
      </c>
      <c r="J55" s="75">
        <v>3</v>
      </c>
      <c r="K55" s="75">
        <v>3</v>
      </c>
      <c r="L55" s="75">
        <v>3</v>
      </c>
      <c r="M55" s="75">
        <v>3</v>
      </c>
      <c r="N55" s="68">
        <f t="shared" si="19"/>
        <v>3</v>
      </c>
    </row>
    <row r="56" spans="1:14" ht="15">
      <c r="A56" s="57" t="s">
        <v>72</v>
      </c>
      <c r="B56" s="59">
        <f>SUM(B48:B55)</f>
        <v>15</v>
      </c>
      <c r="C56" s="59">
        <f t="shared" ref="C56:M56" si="20">SUM(C48:C55)</f>
        <v>15</v>
      </c>
      <c r="D56" s="59">
        <f t="shared" si="20"/>
        <v>15</v>
      </c>
      <c r="E56" s="59">
        <f t="shared" si="20"/>
        <v>15</v>
      </c>
      <c r="F56" s="59">
        <f t="shared" si="20"/>
        <v>15</v>
      </c>
      <c r="G56" s="59">
        <f t="shared" si="20"/>
        <v>15</v>
      </c>
      <c r="H56" s="59">
        <f t="shared" si="20"/>
        <v>15</v>
      </c>
      <c r="I56" s="59">
        <f t="shared" si="20"/>
        <v>15</v>
      </c>
      <c r="J56" s="59">
        <f t="shared" si="20"/>
        <v>15</v>
      </c>
      <c r="K56" s="59">
        <f t="shared" si="20"/>
        <v>15</v>
      </c>
      <c r="L56" s="59">
        <f t="shared" si="20"/>
        <v>15</v>
      </c>
      <c r="M56" s="59">
        <f t="shared" si="20"/>
        <v>15</v>
      </c>
      <c r="N56" s="69">
        <f t="shared" ref="N56" si="21">SUM(B56:M56)/12</f>
        <v>15</v>
      </c>
    </row>
    <row r="57" spans="1:14" ht="15">
      <c r="A57" s="58" t="s">
        <v>58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</row>
    <row r="58" spans="1:14" ht="15">
      <c r="A58" s="57" t="s">
        <v>59</v>
      </c>
      <c r="B58" s="59">
        <f>B56</f>
        <v>15</v>
      </c>
      <c r="C58" s="59">
        <f t="shared" ref="C58:M58" si="22">C56</f>
        <v>15</v>
      </c>
      <c r="D58" s="59">
        <f t="shared" si="22"/>
        <v>15</v>
      </c>
      <c r="E58" s="59">
        <f t="shared" si="22"/>
        <v>15</v>
      </c>
      <c r="F58" s="59">
        <f t="shared" si="22"/>
        <v>15</v>
      </c>
      <c r="G58" s="59">
        <f t="shared" si="22"/>
        <v>15</v>
      </c>
      <c r="H58" s="59">
        <f t="shared" si="22"/>
        <v>15</v>
      </c>
      <c r="I58" s="59">
        <f t="shared" si="22"/>
        <v>15</v>
      </c>
      <c r="J58" s="59">
        <f t="shared" si="22"/>
        <v>15</v>
      </c>
      <c r="K58" s="59">
        <f t="shared" si="22"/>
        <v>15</v>
      </c>
      <c r="L58" s="59">
        <f t="shared" si="22"/>
        <v>15</v>
      </c>
      <c r="M58" s="59">
        <f t="shared" si="22"/>
        <v>15</v>
      </c>
      <c r="N58" s="69">
        <f t="shared" ref="N58" si="23">SUM(B58:M58)/12</f>
        <v>15</v>
      </c>
    </row>
    <row r="59" spans="1:14" ht="15">
      <c r="A59" s="57" t="s">
        <v>60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</row>
    <row r="60" spans="1:14" ht="15">
      <c r="A60" s="57" t="s">
        <v>268</v>
      </c>
      <c r="B60" s="59">
        <f>B61/SUM(B48:B55)</f>
        <v>44000</v>
      </c>
      <c r="C60" s="59">
        <f t="shared" ref="C60" si="24">C61/SUM(C48:C55)</f>
        <v>44000</v>
      </c>
      <c r="D60" s="59">
        <f t="shared" ref="D60:M60" si="25">D61/SUM(D48:D55)</f>
        <v>44000</v>
      </c>
      <c r="E60" s="59">
        <f t="shared" si="25"/>
        <v>44000</v>
      </c>
      <c r="F60" s="59">
        <f t="shared" si="25"/>
        <v>44000</v>
      </c>
      <c r="G60" s="59">
        <f t="shared" si="25"/>
        <v>44000</v>
      </c>
      <c r="H60" s="59">
        <f t="shared" si="25"/>
        <v>44000</v>
      </c>
      <c r="I60" s="59">
        <f t="shared" si="25"/>
        <v>44000</v>
      </c>
      <c r="J60" s="59">
        <f t="shared" si="25"/>
        <v>44000</v>
      </c>
      <c r="K60" s="59">
        <f t="shared" si="25"/>
        <v>44000</v>
      </c>
      <c r="L60" s="59">
        <f t="shared" si="25"/>
        <v>44000</v>
      </c>
      <c r="M60" s="59">
        <f t="shared" si="25"/>
        <v>44000</v>
      </c>
      <c r="N60" s="69">
        <f t="shared" ref="N60" si="26">SUM(B60:M60)/12</f>
        <v>44000</v>
      </c>
    </row>
    <row r="61" spans="1:14" ht="15">
      <c r="A61" s="57" t="s">
        <v>269</v>
      </c>
      <c r="B61" s="59">
        <f>'Кадры, ставки ЗП'!B5*B48+'Кадры, ставки ЗП'!B9*B49+'Кадры, ставки ЗП'!B10*B50+'Кадры, ставки ЗП'!B11*B51+'Кадры, ставки ЗП'!B12*B52+'Кадры, ставки ЗП'!B13*B53+'Кадры, ставки ЗП'!B14*B54+'Кадры, ставки ЗП'!B8*B55</f>
        <v>660000</v>
      </c>
      <c r="C61" s="59">
        <f>'Кадры, ставки ЗП'!C5*C48+'Кадры, ставки ЗП'!C9*C49+'Кадры, ставки ЗП'!C10*C50+'Кадры, ставки ЗП'!C11*C51+'Кадры, ставки ЗП'!C12*C52+'Кадры, ставки ЗП'!C13*C53+'Кадры, ставки ЗП'!C14*C54+'Кадры, ставки ЗП'!C8*C55</f>
        <v>660000</v>
      </c>
      <c r="D61" s="59">
        <f>'Кадры, ставки ЗП'!D5*D48+'Кадры, ставки ЗП'!D9*D49+'Кадры, ставки ЗП'!D10*D50+'Кадры, ставки ЗП'!D11*D51+'Кадры, ставки ЗП'!D12*D52+'Кадры, ставки ЗП'!D13*D53+'Кадры, ставки ЗП'!D14*D54+'Кадры, ставки ЗП'!D8*D55</f>
        <v>660000</v>
      </c>
      <c r="E61" s="59">
        <f>'Кадры, ставки ЗП'!E5*E48+'Кадры, ставки ЗП'!E9*E49+'Кадры, ставки ЗП'!E10*E50+'Кадры, ставки ЗП'!E11*E51+'Кадры, ставки ЗП'!E12*E52+'Кадры, ставки ЗП'!E13*E53+'Кадры, ставки ЗП'!E14*E54+'Кадры, ставки ЗП'!E8*E55</f>
        <v>660000</v>
      </c>
      <c r="F61" s="59">
        <f>'Кадры, ставки ЗП'!F5*F48+'Кадры, ставки ЗП'!F9*F49+'Кадры, ставки ЗП'!F10*F50+'Кадры, ставки ЗП'!F11*F51+'Кадры, ставки ЗП'!F12*F52+'Кадры, ставки ЗП'!F13*F53+'Кадры, ставки ЗП'!F14*F54+'Кадры, ставки ЗП'!F8*F55</f>
        <v>660000</v>
      </c>
      <c r="G61" s="59">
        <f>'Кадры, ставки ЗП'!G5*G48+'Кадры, ставки ЗП'!G9*G49+'Кадры, ставки ЗП'!G10*G50+'Кадры, ставки ЗП'!G11*G51+'Кадры, ставки ЗП'!G12*G52+'Кадры, ставки ЗП'!G13*G53+'Кадры, ставки ЗП'!G14*G54+'Кадры, ставки ЗП'!G8*G55</f>
        <v>660000</v>
      </c>
      <c r="H61" s="59">
        <f>'Кадры, ставки ЗП'!H5*H48+'Кадры, ставки ЗП'!H9*H49+'Кадры, ставки ЗП'!H10*H50+'Кадры, ставки ЗП'!H11*H51+'Кадры, ставки ЗП'!H12*H52+'Кадры, ставки ЗП'!H13*H53+'Кадры, ставки ЗП'!H14*H54+'Кадры, ставки ЗП'!H8*H55</f>
        <v>660000</v>
      </c>
      <c r="I61" s="59">
        <f>'Кадры, ставки ЗП'!I5*I48+'Кадры, ставки ЗП'!I9*I49+'Кадры, ставки ЗП'!I10*I50+'Кадры, ставки ЗП'!I11*I51+'Кадры, ставки ЗП'!I12*I52+'Кадры, ставки ЗП'!I13*I53+'Кадры, ставки ЗП'!I14*I54+'Кадры, ставки ЗП'!I8*I55</f>
        <v>660000</v>
      </c>
      <c r="J61" s="59">
        <f>'Кадры, ставки ЗП'!J5*J48+'Кадры, ставки ЗП'!J9*J49+'Кадры, ставки ЗП'!J10*J50+'Кадры, ставки ЗП'!J11*J51+'Кадры, ставки ЗП'!J12*J52+'Кадры, ставки ЗП'!J13*J53+'Кадры, ставки ЗП'!J14*J54+'Кадры, ставки ЗП'!J8*J55</f>
        <v>660000</v>
      </c>
      <c r="K61" s="59">
        <f>'Кадры, ставки ЗП'!K5*K48+'Кадры, ставки ЗП'!K9*K49+'Кадры, ставки ЗП'!K10*K50+'Кадры, ставки ЗП'!K11*K51+'Кадры, ставки ЗП'!K12*K52+'Кадры, ставки ЗП'!K13*K53+'Кадры, ставки ЗП'!K14*K54+'Кадры, ставки ЗП'!K8*K55</f>
        <v>660000</v>
      </c>
      <c r="L61" s="59">
        <f>'Кадры, ставки ЗП'!L5*L48+'Кадры, ставки ЗП'!L9*L49+'Кадры, ставки ЗП'!L10*L50+'Кадры, ставки ЗП'!L11*L51+'Кадры, ставки ЗП'!L12*L52+'Кадры, ставки ЗП'!L13*L53+'Кадры, ставки ЗП'!L14*L54+'Кадры, ставки ЗП'!L8*L55</f>
        <v>660000</v>
      </c>
      <c r="M61" s="59">
        <f>'Кадры, ставки ЗП'!M5*M48+'Кадры, ставки ЗП'!M9*M49+'Кадры, ставки ЗП'!M10*M50+'Кадры, ставки ЗП'!M11*M51+'Кадры, ставки ЗП'!M12*M52+'Кадры, ставки ЗП'!M13*M53+'Кадры, ставки ЗП'!M14*M54+'Кадры, ставки ЗП'!M8*M55</f>
        <v>660000</v>
      </c>
      <c r="N61" s="69">
        <f>SUM(B61:M61)</f>
        <v>7920000</v>
      </c>
    </row>
    <row r="62" spans="1:14" ht="15">
      <c r="A62" s="57" t="s">
        <v>270</v>
      </c>
      <c r="B62" s="61">
        <f>B61/100*30.2</f>
        <v>199320</v>
      </c>
      <c r="C62" s="61">
        <f t="shared" ref="C62:D62" si="27">C61/100*30.2</f>
        <v>199320</v>
      </c>
      <c r="D62" s="61">
        <f t="shared" si="27"/>
        <v>199320</v>
      </c>
      <c r="E62" s="61">
        <f>E61/100*30.2</f>
        <v>199320</v>
      </c>
      <c r="F62" s="61">
        <f t="shared" ref="F62:G62" si="28">F61/100*30.2</f>
        <v>199320</v>
      </c>
      <c r="G62" s="61">
        <f t="shared" si="28"/>
        <v>199320</v>
      </c>
      <c r="H62" s="61">
        <f>H61/100*30.2</f>
        <v>199320</v>
      </c>
      <c r="I62" s="61">
        <f t="shared" ref="I62:J62" si="29">I61/100*30.2</f>
        <v>199320</v>
      </c>
      <c r="J62" s="61">
        <f t="shared" si="29"/>
        <v>199320</v>
      </c>
      <c r="K62" s="61">
        <f>K61/100*30.2</f>
        <v>199320</v>
      </c>
      <c r="L62" s="61">
        <f t="shared" ref="L62:M62" si="30">L61/100*30.2</f>
        <v>199320</v>
      </c>
      <c r="M62" s="61">
        <f t="shared" si="30"/>
        <v>199320</v>
      </c>
      <c r="N62" s="69">
        <f>SUM(B62:M62)</f>
        <v>2391840</v>
      </c>
    </row>
  </sheetData>
  <mergeCells count="22">
    <mergeCell ref="B3:N3"/>
    <mergeCell ref="A5:A7"/>
    <mergeCell ref="B5:N5"/>
    <mergeCell ref="B6:D6"/>
    <mergeCell ref="E6:G6"/>
    <mergeCell ref="H6:J6"/>
    <mergeCell ref="K6:M6"/>
    <mergeCell ref="N6:N7"/>
    <mergeCell ref="A25:A27"/>
    <mergeCell ref="B25:N25"/>
    <mergeCell ref="B26:D26"/>
    <mergeCell ref="E26:G26"/>
    <mergeCell ref="H26:J26"/>
    <mergeCell ref="K26:M26"/>
    <mergeCell ref="N26:N27"/>
    <mergeCell ref="A45:A47"/>
    <mergeCell ref="B45:N45"/>
    <mergeCell ref="B46:D46"/>
    <mergeCell ref="E46:G46"/>
    <mergeCell ref="H46:J46"/>
    <mergeCell ref="K46:M46"/>
    <mergeCell ref="N46:N47"/>
  </mergeCells>
  <pageMargins left="0.7" right="0.7" top="0.75" bottom="0.75" header="0.3" footer="0.3"/>
  <ignoredErrors>
    <ignoredError sqref="B16:M16 B20:M20 B36:M36 B40:M40 B56:M56 B60:M6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673CF-FF8D-0D4F-8ED2-1B3CC8151D80}">
  <sheetPr>
    <tabColor theme="9" tint="-0.249977111117893"/>
  </sheetPr>
  <dimension ref="A1:AT63"/>
  <sheetViews>
    <sheetView topLeftCell="D1" workbookViewId="0">
      <selection activeCell="A31" sqref="A31"/>
    </sheetView>
  </sheetViews>
  <sheetFormatPr baseColWidth="10" defaultColWidth="9.1640625" defaultRowHeight="15"/>
  <cols>
    <col min="1" max="1" width="36" customWidth="1"/>
    <col min="2" max="2" width="14.1640625" customWidth="1"/>
    <col min="3" max="3" width="10" customWidth="1"/>
    <col min="4" max="4" width="37.5" customWidth="1"/>
    <col min="5" max="5" width="7.1640625" customWidth="1"/>
    <col min="6" max="6" width="8" customWidth="1"/>
    <col min="7" max="7" width="11.6640625" customWidth="1"/>
    <col min="8" max="8" width="21.5" customWidth="1"/>
    <col min="9" max="9" width="11.33203125" customWidth="1"/>
    <col min="10" max="10" width="12.1640625" customWidth="1"/>
    <col min="11" max="11" width="19.83203125" customWidth="1"/>
    <col min="12" max="12" width="11.5" customWidth="1"/>
    <col min="13" max="13" width="12.5" customWidth="1"/>
    <col min="14" max="14" width="19" customWidth="1"/>
    <col min="15" max="15" width="15" customWidth="1"/>
    <col min="16" max="16" width="13.5" customWidth="1"/>
    <col min="17" max="17" width="93.5" customWidth="1"/>
  </cols>
  <sheetData>
    <row r="1" spans="1:20" ht="12.75" customHeight="1">
      <c r="B1" s="329"/>
      <c r="C1" s="330"/>
      <c r="D1" s="330"/>
      <c r="E1" s="330"/>
      <c r="F1" s="330"/>
    </row>
    <row r="2" spans="1:20" ht="12.75" customHeight="1">
      <c r="B2" s="331"/>
      <c r="C2" s="331"/>
      <c r="D2" s="331"/>
      <c r="E2" s="331"/>
      <c r="F2" s="331"/>
    </row>
    <row r="3" spans="1:20" ht="12.75" customHeight="1">
      <c r="B3" s="331"/>
      <c r="C3" s="331"/>
      <c r="D3" s="331"/>
      <c r="E3" s="331"/>
      <c r="F3" s="331"/>
    </row>
    <row r="4" spans="1:20" ht="12.75" customHeight="1">
      <c r="B4" s="331"/>
      <c r="C4" s="331"/>
      <c r="D4" s="331"/>
      <c r="E4" s="331"/>
      <c r="F4" s="331"/>
    </row>
    <row r="5" spans="1:20" ht="12.75" customHeight="1">
      <c r="B5" s="331"/>
      <c r="C5" s="331"/>
      <c r="D5" s="331"/>
      <c r="E5" s="331"/>
      <c r="F5" s="331"/>
    </row>
    <row r="6" spans="1:20" ht="12.75" customHeight="1">
      <c r="B6" s="331"/>
      <c r="C6" s="331"/>
      <c r="D6" s="331"/>
      <c r="E6" s="331"/>
      <c r="F6" s="331"/>
    </row>
    <row r="7" spans="1:20" ht="12.75" customHeight="1">
      <c r="B7" s="331"/>
      <c r="C7" s="331"/>
      <c r="D7" s="331"/>
      <c r="E7" s="331"/>
      <c r="F7" s="331"/>
    </row>
    <row r="8" spans="1:20" ht="12.75" customHeight="1">
      <c r="B8" s="331"/>
      <c r="C8" s="331"/>
      <c r="D8" s="331"/>
      <c r="E8" s="331"/>
      <c r="F8" s="331"/>
    </row>
    <row r="9" spans="1:20" ht="18" customHeight="1">
      <c r="A9" s="332"/>
      <c r="B9" s="333"/>
      <c r="C9" s="332"/>
      <c r="D9" s="332"/>
      <c r="E9" s="334"/>
      <c r="F9" s="332"/>
      <c r="G9" s="332"/>
      <c r="I9" s="332"/>
    </row>
    <row r="10" spans="1:20" ht="42.75" customHeight="1">
      <c r="A10" s="335" t="s">
        <v>334</v>
      </c>
      <c r="B10" s="336" t="s">
        <v>335</v>
      </c>
      <c r="C10" s="335" t="s">
        <v>336</v>
      </c>
      <c r="D10" s="335" t="s">
        <v>337</v>
      </c>
      <c r="E10" s="335" t="s">
        <v>338</v>
      </c>
      <c r="F10" s="335" t="s">
        <v>339</v>
      </c>
      <c r="G10" s="336" t="s">
        <v>340</v>
      </c>
      <c r="H10" s="337" t="s">
        <v>341</v>
      </c>
      <c r="I10" s="336" t="s">
        <v>342</v>
      </c>
      <c r="J10" s="337" t="s">
        <v>343</v>
      </c>
      <c r="K10" s="337" t="s">
        <v>344</v>
      </c>
      <c r="L10" s="337" t="s">
        <v>345</v>
      </c>
      <c r="M10" s="336" t="s">
        <v>346</v>
      </c>
      <c r="N10" s="337" t="s">
        <v>347</v>
      </c>
      <c r="O10" s="336" t="s">
        <v>348</v>
      </c>
      <c r="P10" s="336" t="s">
        <v>349</v>
      </c>
      <c r="Q10" s="338" t="s">
        <v>350</v>
      </c>
      <c r="R10" s="339"/>
      <c r="S10" s="339"/>
      <c r="T10" s="43"/>
    </row>
    <row r="11" spans="1:20" ht="18" customHeight="1">
      <c r="A11" s="340" t="s">
        <v>351</v>
      </c>
      <c r="B11" s="341"/>
      <c r="C11" s="341"/>
      <c r="D11" s="341"/>
      <c r="E11" s="342"/>
      <c r="F11" s="342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43"/>
      <c r="R11" s="43"/>
      <c r="S11" s="43"/>
      <c r="T11" s="43"/>
    </row>
    <row r="12" spans="1:20" s="332" customFormat="1" ht="12.75" customHeight="1">
      <c r="A12" s="344" t="s">
        <v>352</v>
      </c>
      <c r="B12" s="344"/>
      <c r="C12" s="344"/>
      <c r="D12" s="344"/>
      <c r="E12" s="345"/>
      <c r="F12" s="345"/>
      <c r="G12" s="346"/>
      <c r="H12" s="344"/>
      <c r="I12" s="344"/>
      <c r="J12" s="346"/>
      <c r="K12" s="344"/>
      <c r="L12" s="344"/>
      <c r="M12" s="347"/>
      <c r="N12" s="344"/>
      <c r="O12" s="344"/>
      <c r="P12" s="347"/>
      <c r="Q12" s="43"/>
      <c r="R12" s="43"/>
      <c r="S12" s="43"/>
      <c r="T12" s="339"/>
    </row>
    <row r="13" spans="1:20" ht="12.75" customHeight="1">
      <c r="A13" s="348" t="s">
        <v>353</v>
      </c>
      <c r="B13" s="349" t="s">
        <v>354</v>
      </c>
      <c r="C13" s="349" t="s">
        <v>355</v>
      </c>
      <c r="D13" s="349" t="s">
        <v>356</v>
      </c>
      <c r="E13" s="43">
        <v>3</v>
      </c>
      <c r="F13" s="43">
        <v>6</v>
      </c>
      <c r="G13" s="43">
        <f>I13*B53</f>
        <v>8.5203999999999986</v>
      </c>
      <c r="H13" s="43">
        <f t="shared" ref="H13:H19" si="0">E13*G13</f>
        <v>25.561199999999996</v>
      </c>
      <c r="I13" s="43">
        <v>0.11899999999999999</v>
      </c>
      <c r="J13" s="43">
        <f>L13*B53</f>
        <v>6.5871999999999993</v>
      </c>
      <c r="K13" s="43">
        <f>E13*J13</f>
        <v>19.761599999999998</v>
      </c>
      <c r="L13" s="43">
        <v>9.1999999999999998E-2</v>
      </c>
      <c r="M13" s="43">
        <f>O13*B53</f>
        <v>6.3007999999999988</v>
      </c>
      <c r="N13" s="43">
        <f>E13*M13</f>
        <v>18.902399999999997</v>
      </c>
      <c r="O13" s="349">
        <v>8.7999999999999995E-2</v>
      </c>
      <c r="P13" s="349" t="s">
        <v>357</v>
      </c>
      <c r="Q13" s="350" t="s">
        <v>358</v>
      </c>
      <c r="R13" s="43"/>
      <c r="S13" s="43"/>
      <c r="T13" s="43"/>
    </row>
    <row r="14" spans="1:20" ht="12.75" customHeight="1">
      <c r="A14" s="348" t="s">
        <v>359</v>
      </c>
      <c r="B14" s="43" t="s">
        <v>360</v>
      </c>
      <c r="C14" s="349" t="s">
        <v>355</v>
      </c>
      <c r="D14" s="349" t="s">
        <v>356</v>
      </c>
      <c r="E14" s="43">
        <v>1</v>
      </c>
      <c r="F14" s="43">
        <v>2</v>
      </c>
      <c r="G14" s="43">
        <f>I14*B53</f>
        <v>5.226799999999999</v>
      </c>
      <c r="H14" s="43">
        <f t="shared" si="0"/>
        <v>5.226799999999999</v>
      </c>
      <c r="I14" s="43">
        <v>7.2999999999999995E-2</v>
      </c>
      <c r="J14" s="43">
        <f>L14*B53</f>
        <v>3.8663999999999996</v>
      </c>
      <c r="K14" s="43">
        <f t="shared" ref="K14:K43" si="1">E14*J14</f>
        <v>3.8663999999999996</v>
      </c>
      <c r="L14" s="43">
        <v>5.3999999999999999E-2</v>
      </c>
      <c r="M14" s="43">
        <f>O14*B53</f>
        <v>3.58</v>
      </c>
      <c r="N14" s="43">
        <f t="shared" ref="N14:N19" si="2">E14*M14</f>
        <v>3.58</v>
      </c>
      <c r="O14" s="43">
        <v>0.05</v>
      </c>
      <c r="P14" s="349" t="s">
        <v>357</v>
      </c>
      <c r="Q14" s="350" t="s">
        <v>361</v>
      </c>
      <c r="R14" s="43"/>
      <c r="S14" s="43"/>
      <c r="T14" s="43"/>
    </row>
    <row r="15" spans="1:20" ht="12.75" customHeight="1">
      <c r="A15" s="348" t="s">
        <v>362</v>
      </c>
      <c r="B15" s="349" t="s">
        <v>363</v>
      </c>
      <c r="C15" s="349" t="s">
        <v>355</v>
      </c>
      <c r="D15" s="349" t="s">
        <v>356</v>
      </c>
      <c r="E15" s="43">
        <v>3</v>
      </c>
      <c r="F15" s="43">
        <v>6</v>
      </c>
      <c r="G15" s="43">
        <f>I15*B53</f>
        <v>5.7279999999999998</v>
      </c>
      <c r="H15" s="43">
        <f t="shared" si="0"/>
        <v>17.183999999999997</v>
      </c>
      <c r="I15" s="43">
        <v>0.08</v>
      </c>
      <c r="J15" s="43">
        <f>L15*B53</f>
        <v>4.0811999999999999</v>
      </c>
      <c r="K15" s="43">
        <f t="shared" si="1"/>
        <v>12.243600000000001</v>
      </c>
      <c r="L15" s="43">
        <v>5.7000000000000002E-2</v>
      </c>
      <c r="M15" s="43">
        <f>O15*B53</f>
        <v>3.7231999999999994</v>
      </c>
      <c r="N15" s="43">
        <f t="shared" si="2"/>
        <v>11.169599999999999</v>
      </c>
      <c r="O15" s="43">
        <v>5.1999999999999998E-2</v>
      </c>
      <c r="P15" s="349" t="s">
        <v>364</v>
      </c>
      <c r="Q15" s="350" t="s">
        <v>365</v>
      </c>
      <c r="R15" s="43"/>
      <c r="S15" s="43"/>
      <c r="T15" s="43"/>
    </row>
    <row r="16" spans="1:20">
      <c r="A16" s="348" t="s">
        <v>366</v>
      </c>
      <c r="B16" s="43" t="s">
        <v>367</v>
      </c>
      <c r="C16" s="43" t="s">
        <v>355</v>
      </c>
      <c r="D16" s="349" t="s">
        <v>356</v>
      </c>
      <c r="E16" s="43">
        <v>1</v>
      </c>
      <c r="F16" s="43">
        <v>2</v>
      </c>
      <c r="G16" s="43">
        <f>I16*B53</f>
        <v>2.5775999999999994</v>
      </c>
      <c r="H16" s="43">
        <f t="shared" si="0"/>
        <v>2.5775999999999994</v>
      </c>
      <c r="I16" s="43">
        <v>3.5999999999999997E-2</v>
      </c>
      <c r="J16" s="43">
        <f>L16*B53</f>
        <v>1.3603999999999998</v>
      </c>
      <c r="K16" s="43">
        <f t="shared" si="1"/>
        <v>1.3603999999999998</v>
      </c>
      <c r="L16" s="43">
        <v>1.9E-2</v>
      </c>
      <c r="M16" s="43">
        <f>O16*B53</f>
        <v>1.2172000000000001</v>
      </c>
      <c r="N16" s="43">
        <f t="shared" si="2"/>
        <v>1.2172000000000001</v>
      </c>
      <c r="O16" s="43">
        <v>1.7000000000000001E-2</v>
      </c>
      <c r="P16" s="349" t="s">
        <v>364</v>
      </c>
      <c r="Q16" s="351" t="s">
        <v>368</v>
      </c>
      <c r="R16" s="43"/>
      <c r="S16" s="43"/>
      <c r="T16" s="43"/>
    </row>
    <row r="17" spans="1:20" ht="12.75" customHeight="1">
      <c r="A17" s="349" t="s">
        <v>369</v>
      </c>
      <c r="B17" s="349" t="s">
        <v>370</v>
      </c>
      <c r="C17" s="349" t="s">
        <v>355</v>
      </c>
      <c r="D17" s="349" t="s">
        <v>356</v>
      </c>
      <c r="E17" s="43">
        <v>2</v>
      </c>
      <c r="F17" s="43">
        <v>4</v>
      </c>
      <c r="G17" s="43">
        <f>I17*B53</f>
        <v>2.2195999999999998</v>
      </c>
      <c r="H17" s="43">
        <f t="shared" si="0"/>
        <v>4.4391999999999996</v>
      </c>
      <c r="I17" s="43">
        <v>3.1E-2</v>
      </c>
      <c r="J17" s="43">
        <f>L17*B53</f>
        <v>1.5036</v>
      </c>
      <c r="K17" s="43">
        <f t="shared" si="1"/>
        <v>3.0072000000000001</v>
      </c>
      <c r="L17" s="43">
        <v>2.1000000000000001E-2</v>
      </c>
      <c r="M17" s="43">
        <f>O17*B53</f>
        <v>1.3603999999999998</v>
      </c>
      <c r="N17" s="43">
        <f t="shared" si="2"/>
        <v>2.7207999999999997</v>
      </c>
      <c r="O17" s="43">
        <v>1.9E-2</v>
      </c>
      <c r="P17" s="349" t="s">
        <v>364</v>
      </c>
      <c r="Q17" s="350" t="s">
        <v>371</v>
      </c>
      <c r="R17" s="43"/>
      <c r="S17" s="43"/>
      <c r="T17" s="43"/>
    </row>
    <row r="18" spans="1:20" ht="12.75" customHeight="1">
      <c r="A18" s="349" t="s">
        <v>372</v>
      </c>
      <c r="B18" s="349" t="s">
        <v>373</v>
      </c>
      <c r="C18" s="349" t="s">
        <v>355</v>
      </c>
      <c r="D18" s="349" t="s">
        <v>356</v>
      </c>
      <c r="E18" s="43">
        <v>1</v>
      </c>
      <c r="F18" s="43">
        <v>2</v>
      </c>
      <c r="G18" s="43">
        <f>I18*B53</f>
        <v>1.6467999999999998</v>
      </c>
      <c r="H18" s="43">
        <f t="shared" si="0"/>
        <v>1.6467999999999998</v>
      </c>
      <c r="I18" s="43">
        <v>2.3E-2</v>
      </c>
      <c r="J18" s="43">
        <f>L18*B53</f>
        <v>1.2172000000000001</v>
      </c>
      <c r="K18" s="43">
        <f t="shared" si="1"/>
        <v>1.2172000000000001</v>
      </c>
      <c r="L18" s="43">
        <v>1.7000000000000001E-2</v>
      </c>
      <c r="M18" s="43">
        <f>O18*B53</f>
        <v>0.78759999999999986</v>
      </c>
      <c r="N18" s="43">
        <f t="shared" si="2"/>
        <v>0.78759999999999986</v>
      </c>
      <c r="O18" s="43">
        <v>1.0999999999999999E-2</v>
      </c>
      <c r="P18" s="349" t="s">
        <v>364</v>
      </c>
      <c r="Q18" s="350" t="s">
        <v>374</v>
      </c>
      <c r="R18" s="43"/>
      <c r="S18" s="43"/>
      <c r="T18" s="43"/>
    </row>
    <row r="19" spans="1:20">
      <c r="A19" s="349" t="s">
        <v>375</v>
      </c>
      <c r="B19" s="349" t="s">
        <v>376</v>
      </c>
      <c r="C19" s="349" t="s">
        <v>355</v>
      </c>
      <c r="D19" s="349" t="s">
        <v>356</v>
      </c>
      <c r="E19" s="43">
        <v>1</v>
      </c>
      <c r="F19" s="43">
        <v>2</v>
      </c>
      <c r="G19" s="43">
        <f>I19*B53</f>
        <v>2.0764</v>
      </c>
      <c r="H19" s="43">
        <f t="shared" si="0"/>
        <v>2.0764</v>
      </c>
      <c r="I19" s="43">
        <v>2.9000000000000001E-2</v>
      </c>
      <c r="J19" s="43">
        <f>L19*B53</f>
        <v>1.3603999999999998</v>
      </c>
      <c r="K19" s="43">
        <f t="shared" si="1"/>
        <v>1.3603999999999998</v>
      </c>
      <c r="L19" s="43">
        <v>1.9E-2</v>
      </c>
      <c r="M19" s="43">
        <f>O19*B53</f>
        <v>1.0739999999999998</v>
      </c>
      <c r="N19" s="43">
        <f t="shared" si="2"/>
        <v>1.0739999999999998</v>
      </c>
      <c r="O19" s="43">
        <v>1.4999999999999999E-2</v>
      </c>
      <c r="P19" s="349" t="s">
        <v>377</v>
      </c>
      <c r="Q19" s="350" t="s">
        <v>378</v>
      </c>
      <c r="R19" s="43"/>
      <c r="S19" s="43"/>
      <c r="T19" s="43"/>
    </row>
    <row r="20" spans="1:20" ht="12.75" customHeight="1">
      <c r="A20" s="346" t="s">
        <v>379</v>
      </c>
      <c r="B20" s="344"/>
      <c r="C20" s="344"/>
      <c r="D20" s="344"/>
      <c r="E20" s="345"/>
      <c r="F20" s="345"/>
      <c r="G20" s="346"/>
      <c r="H20" s="347"/>
      <c r="I20" s="347"/>
      <c r="J20" s="346"/>
      <c r="K20" s="347"/>
      <c r="L20" s="347"/>
      <c r="M20" s="347"/>
      <c r="N20" s="347"/>
      <c r="O20" s="347"/>
      <c r="P20" s="347"/>
      <c r="Q20" s="43"/>
      <c r="R20" s="43"/>
      <c r="S20" s="43"/>
      <c r="T20" s="43"/>
    </row>
    <row r="21" spans="1:20" ht="12.75" customHeight="1">
      <c r="A21" s="349" t="s">
        <v>380</v>
      </c>
      <c r="B21" s="349" t="s">
        <v>381</v>
      </c>
      <c r="C21" s="349" t="s">
        <v>355</v>
      </c>
      <c r="D21" s="349" t="s">
        <v>356</v>
      </c>
      <c r="E21" s="43">
        <v>1</v>
      </c>
      <c r="F21" s="43">
        <v>2</v>
      </c>
      <c r="G21" s="43">
        <f>I21*B53</f>
        <v>0.71599999999999997</v>
      </c>
      <c r="H21" s="43">
        <f t="shared" ref="H21:H26" si="3">E21*G21</f>
        <v>0.71599999999999997</v>
      </c>
      <c r="I21" s="352">
        <v>0.01</v>
      </c>
      <c r="J21" s="43">
        <f>L21*B53</f>
        <v>0.42959999999999998</v>
      </c>
      <c r="K21" s="43">
        <f t="shared" si="1"/>
        <v>0.42959999999999998</v>
      </c>
      <c r="L21" s="43">
        <v>6.0000000000000001E-3</v>
      </c>
      <c r="M21" s="43">
        <f>O21*B53</f>
        <v>0.42959999999999998</v>
      </c>
      <c r="N21" s="43">
        <f>E21*M21</f>
        <v>0.42959999999999998</v>
      </c>
      <c r="O21" s="43">
        <v>6.0000000000000001E-3</v>
      </c>
      <c r="P21" s="349" t="s">
        <v>382</v>
      </c>
      <c r="Q21" s="351" t="s">
        <v>383</v>
      </c>
      <c r="R21" s="43"/>
      <c r="S21" s="43"/>
      <c r="T21" s="43"/>
    </row>
    <row r="22" spans="1:20" ht="12.75" customHeight="1">
      <c r="A22" s="349" t="s">
        <v>384</v>
      </c>
      <c r="B22" s="349" t="s">
        <v>385</v>
      </c>
      <c r="C22" s="349" t="s">
        <v>355</v>
      </c>
      <c r="D22" s="349" t="s">
        <v>356</v>
      </c>
      <c r="E22" s="43">
        <v>1</v>
      </c>
      <c r="F22" s="43">
        <v>2</v>
      </c>
      <c r="G22" s="43">
        <f>I22*B53</f>
        <v>0.71599999999999997</v>
      </c>
      <c r="H22" s="43">
        <f t="shared" si="3"/>
        <v>0.71599999999999997</v>
      </c>
      <c r="I22" s="352">
        <v>0.01</v>
      </c>
      <c r="J22" s="43">
        <f>L22*B53</f>
        <v>0.42959999999999998</v>
      </c>
      <c r="K22" s="43">
        <f t="shared" si="1"/>
        <v>0.42959999999999998</v>
      </c>
      <c r="L22" s="43">
        <v>6.0000000000000001E-3</v>
      </c>
      <c r="M22" s="43">
        <f>O22*B53</f>
        <v>0.42959999999999998</v>
      </c>
      <c r="N22" s="43">
        <f t="shared" ref="N22:N45" si="4">E22*M22</f>
        <v>0.42959999999999998</v>
      </c>
      <c r="O22" s="43">
        <v>6.0000000000000001E-3</v>
      </c>
      <c r="P22" s="349" t="s">
        <v>357</v>
      </c>
      <c r="Q22" s="351" t="s">
        <v>386</v>
      </c>
      <c r="R22" s="43"/>
      <c r="S22" s="43"/>
      <c r="T22" s="43"/>
    </row>
    <row r="23" spans="1:20" ht="12.75" customHeight="1">
      <c r="A23" s="349" t="s">
        <v>387</v>
      </c>
      <c r="B23" s="349" t="s">
        <v>388</v>
      </c>
      <c r="C23" s="349" t="s">
        <v>355</v>
      </c>
      <c r="D23" s="349" t="s">
        <v>356</v>
      </c>
      <c r="E23" s="43">
        <v>2</v>
      </c>
      <c r="F23" s="43">
        <v>4</v>
      </c>
      <c r="G23" s="43">
        <f>I23*B53</f>
        <v>0.71599999999999997</v>
      </c>
      <c r="H23" s="43">
        <f t="shared" si="3"/>
        <v>1.4319999999999999</v>
      </c>
      <c r="I23" s="352">
        <v>0.01</v>
      </c>
      <c r="J23" s="43">
        <f>L23*B53</f>
        <v>0.42959999999999998</v>
      </c>
      <c r="K23" s="43">
        <f t="shared" si="1"/>
        <v>0.85919999999999996</v>
      </c>
      <c r="L23" s="43">
        <v>6.0000000000000001E-3</v>
      </c>
      <c r="M23" s="43">
        <f>O23*B53</f>
        <v>0.42959999999999998</v>
      </c>
      <c r="N23" s="43">
        <f t="shared" si="4"/>
        <v>0.85919999999999996</v>
      </c>
      <c r="O23" s="43">
        <v>6.0000000000000001E-3</v>
      </c>
      <c r="P23" s="349" t="s">
        <v>357</v>
      </c>
      <c r="Q23" s="350" t="s">
        <v>389</v>
      </c>
      <c r="R23" s="43"/>
      <c r="S23" s="43"/>
      <c r="T23" s="43"/>
    </row>
    <row r="24" spans="1:20" ht="12.75" customHeight="1">
      <c r="A24" s="349" t="s">
        <v>390</v>
      </c>
      <c r="B24" s="349" t="s">
        <v>391</v>
      </c>
      <c r="C24" s="349" t="s">
        <v>355</v>
      </c>
      <c r="D24" s="349" t="s">
        <v>356</v>
      </c>
      <c r="E24" s="43">
        <v>1</v>
      </c>
      <c r="F24" s="43">
        <v>2</v>
      </c>
      <c r="G24" s="43">
        <f>I24*B53</f>
        <v>0.71599999999999997</v>
      </c>
      <c r="H24" s="43">
        <f t="shared" si="3"/>
        <v>0.71599999999999997</v>
      </c>
      <c r="I24" s="352">
        <v>0.01</v>
      </c>
      <c r="J24" s="43">
        <f>L24*B53</f>
        <v>0.42959999999999998</v>
      </c>
      <c r="K24" s="43">
        <f t="shared" si="1"/>
        <v>0.42959999999999998</v>
      </c>
      <c r="L24" s="43">
        <v>6.0000000000000001E-3</v>
      </c>
      <c r="M24" s="43">
        <f>O24*B53</f>
        <v>0.42959999999999998</v>
      </c>
      <c r="N24" s="43">
        <f t="shared" si="4"/>
        <v>0.42959999999999998</v>
      </c>
      <c r="O24" s="43">
        <v>6.0000000000000001E-3</v>
      </c>
      <c r="P24" s="349" t="s">
        <v>377</v>
      </c>
      <c r="Q24" s="350" t="s">
        <v>392</v>
      </c>
      <c r="R24" s="43"/>
      <c r="S24" s="43"/>
      <c r="T24" s="43"/>
    </row>
    <row r="25" spans="1:20" ht="12.75" customHeight="1">
      <c r="A25" s="349" t="s">
        <v>393</v>
      </c>
      <c r="B25" s="349" t="s">
        <v>394</v>
      </c>
      <c r="C25" s="349" t="s">
        <v>355</v>
      </c>
      <c r="D25" s="349" t="s">
        <v>356</v>
      </c>
      <c r="E25" s="43">
        <v>1</v>
      </c>
      <c r="F25" s="43">
        <v>2</v>
      </c>
      <c r="G25" s="43">
        <f>I25*B53</f>
        <v>0.71599999999999997</v>
      </c>
      <c r="H25" s="43">
        <f t="shared" si="3"/>
        <v>0.71599999999999997</v>
      </c>
      <c r="I25" s="352">
        <v>0.01</v>
      </c>
      <c r="J25" s="43">
        <f>L25*B53</f>
        <v>0.42959999999999998</v>
      </c>
      <c r="K25" s="43">
        <f t="shared" si="1"/>
        <v>0.42959999999999998</v>
      </c>
      <c r="L25" s="43">
        <v>6.0000000000000001E-3</v>
      </c>
      <c r="M25" s="43">
        <f>O25*B53</f>
        <v>0.42959999999999998</v>
      </c>
      <c r="N25" s="43">
        <f t="shared" si="4"/>
        <v>0.42959999999999998</v>
      </c>
      <c r="O25" s="43">
        <v>6.0000000000000001E-3</v>
      </c>
      <c r="P25" s="349" t="s">
        <v>357</v>
      </c>
      <c r="Q25" s="350" t="s">
        <v>395</v>
      </c>
      <c r="R25" s="43"/>
      <c r="S25" s="43"/>
      <c r="T25" s="43"/>
    </row>
    <row r="26" spans="1:20" ht="12.75" customHeight="1">
      <c r="A26" s="349" t="s">
        <v>396</v>
      </c>
      <c r="B26" s="349" t="s">
        <v>397</v>
      </c>
      <c r="C26" s="43" t="s">
        <v>355</v>
      </c>
      <c r="D26" s="349" t="s">
        <v>356</v>
      </c>
      <c r="E26" s="43">
        <v>1</v>
      </c>
      <c r="F26" s="43">
        <v>2</v>
      </c>
      <c r="G26" s="43">
        <f>I26*B53</f>
        <v>0.71599999999999997</v>
      </c>
      <c r="H26" s="43">
        <f t="shared" si="3"/>
        <v>0.71599999999999997</v>
      </c>
      <c r="I26" s="352">
        <v>0.01</v>
      </c>
      <c r="J26" s="43">
        <f>L26*B53</f>
        <v>0.42959999999999998</v>
      </c>
      <c r="K26" s="43">
        <f>E26*J26</f>
        <v>0.42959999999999998</v>
      </c>
      <c r="L26" s="43">
        <v>6.0000000000000001E-3</v>
      </c>
      <c r="M26" s="43">
        <f>O26*B53</f>
        <v>0.42959999999999998</v>
      </c>
      <c r="N26" s="43">
        <f t="shared" si="4"/>
        <v>0.42959999999999998</v>
      </c>
      <c r="O26" s="43">
        <v>6.0000000000000001E-3</v>
      </c>
      <c r="P26" s="349" t="s">
        <v>357</v>
      </c>
      <c r="Q26" s="350" t="s">
        <v>398</v>
      </c>
      <c r="R26" s="43"/>
      <c r="S26" s="43"/>
      <c r="T26" s="43"/>
    </row>
    <row r="27" spans="1:20" ht="12.75" customHeight="1">
      <c r="A27" s="344" t="s">
        <v>399</v>
      </c>
      <c r="B27" s="347"/>
      <c r="C27" s="347"/>
      <c r="D27" s="347"/>
      <c r="E27" s="347"/>
      <c r="F27" s="347"/>
      <c r="G27" s="346"/>
      <c r="H27" s="347"/>
      <c r="I27" s="347"/>
      <c r="J27" s="346"/>
      <c r="K27" s="347"/>
      <c r="L27" s="347"/>
      <c r="M27" s="347"/>
      <c r="N27" s="347"/>
      <c r="O27" s="347"/>
      <c r="P27" s="347"/>
      <c r="Q27" s="339"/>
      <c r="R27" s="43"/>
      <c r="S27" s="43"/>
      <c r="T27" s="43"/>
    </row>
    <row r="28" spans="1:20" ht="12.75" customHeight="1">
      <c r="A28" s="349" t="s">
        <v>400</v>
      </c>
      <c r="B28" s="349" t="s">
        <v>401</v>
      </c>
      <c r="C28" s="349" t="s">
        <v>402</v>
      </c>
      <c r="D28" s="349" t="s">
        <v>403</v>
      </c>
      <c r="E28" s="43">
        <v>1</v>
      </c>
      <c r="F28" s="43">
        <v>2</v>
      </c>
      <c r="G28" s="43">
        <f>I28*B53</f>
        <v>1.1670799999999999</v>
      </c>
      <c r="H28" s="43">
        <f>E28*G28</f>
        <v>1.1670799999999999</v>
      </c>
      <c r="I28" s="43">
        <v>1.6299999999999999E-2</v>
      </c>
      <c r="J28" s="43">
        <f>L28*B53</f>
        <v>1.1670799999999999</v>
      </c>
      <c r="K28" s="43">
        <f t="shared" si="1"/>
        <v>1.1670799999999999</v>
      </c>
      <c r="L28" s="43">
        <v>1.6299999999999999E-2</v>
      </c>
      <c r="M28" s="43">
        <f>O28*B53</f>
        <v>1.1670799999999999</v>
      </c>
      <c r="N28" s="43">
        <f t="shared" si="4"/>
        <v>1.1670799999999999</v>
      </c>
      <c r="O28" s="43">
        <v>1.6299999999999999E-2</v>
      </c>
      <c r="P28" s="349" t="s">
        <v>404</v>
      </c>
      <c r="Q28" s="350" t="s">
        <v>405</v>
      </c>
      <c r="R28" s="339"/>
      <c r="S28" s="339"/>
      <c r="T28" s="43"/>
    </row>
    <row r="29" spans="1:20" ht="12.75" customHeight="1">
      <c r="A29" s="349" t="s">
        <v>406</v>
      </c>
      <c r="B29" s="349" t="s">
        <v>407</v>
      </c>
      <c r="C29" s="349" t="s">
        <v>402</v>
      </c>
      <c r="D29" s="349" t="s">
        <v>408</v>
      </c>
      <c r="E29" s="43">
        <v>1</v>
      </c>
      <c r="F29" s="43">
        <v>2</v>
      </c>
      <c r="G29" s="43">
        <f>I29*B53</f>
        <v>1.2744799999999998</v>
      </c>
      <c r="H29" s="43">
        <f>E29*G29</f>
        <v>1.2744799999999998</v>
      </c>
      <c r="I29" s="43">
        <v>1.78E-2</v>
      </c>
      <c r="J29" s="43">
        <f>L29*B53</f>
        <v>1.2744799999999998</v>
      </c>
      <c r="K29" s="43">
        <f t="shared" si="1"/>
        <v>1.2744799999999998</v>
      </c>
      <c r="L29" s="43">
        <v>1.78E-2</v>
      </c>
      <c r="M29" s="43">
        <f>O29*B53</f>
        <v>1.2744799999999998</v>
      </c>
      <c r="N29" s="43">
        <f t="shared" si="4"/>
        <v>1.2744799999999998</v>
      </c>
      <c r="O29" s="43">
        <v>1.78E-2</v>
      </c>
      <c r="P29" s="349" t="s">
        <v>409</v>
      </c>
      <c r="Q29" s="350" t="s">
        <v>410</v>
      </c>
      <c r="R29" s="43"/>
      <c r="S29" s="43"/>
      <c r="T29" s="43"/>
    </row>
    <row r="30" spans="1:20" s="332" customFormat="1" ht="12.75" customHeight="1">
      <c r="A30" s="344" t="s">
        <v>411</v>
      </c>
      <c r="B30" s="347"/>
      <c r="C30" s="347"/>
      <c r="D30" s="347"/>
      <c r="E30" s="347"/>
      <c r="F30" s="347"/>
      <c r="G30" s="346"/>
      <c r="H30" s="344"/>
      <c r="I30" s="344"/>
      <c r="J30" s="346"/>
      <c r="K30" s="344"/>
      <c r="L30" s="344"/>
      <c r="M30" s="347"/>
      <c r="N30" s="347"/>
      <c r="O30" s="344"/>
      <c r="P30" s="353"/>
      <c r="Q30" s="351"/>
      <c r="R30" s="43"/>
      <c r="S30" s="43"/>
      <c r="T30" s="339"/>
    </row>
    <row r="31" spans="1:20" ht="12.75" customHeight="1">
      <c r="A31" s="349" t="s">
        <v>412</v>
      </c>
      <c r="B31" s="349" t="s">
        <v>413</v>
      </c>
      <c r="C31" s="349" t="s">
        <v>414</v>
      </c>
      <c r="D31" s="349" t="s">
        <v>356</v>
      </c>
      <c r="E31" s="43">
        <v>1</v>
      </c>
      <c r="F31" s="43">
        <v>64</v>
      </c>
      <c r="G31" s="43">
        <f>I31*B53</f>
        <v>930.8</v>
      </c>
      <c r="H31" s="43">
        <f t="shared" ref="H31:H36" si="5">E31*G31</f>
        <v>930.8</v>
      </c>
      <c r="I31" s="354">
        <v>13</v>
      </c>
      <c r="J31" s="43">
        <f>L31*B53</f>
        <v>751.8</v>
      </c>
      <c r="K31" s="43">
        <f t="shared" si="1"/>
        <v>751.8</v>
      </c>
      <c r="L31" s="43">
        <v>10.5</v>
      </c>
      <c r="M31" s="43">
        <f>O31*B53</f>
        <v>716</v>
      </c>
      <c r="N31" s="43">
        <f t="shared" si="4"/>
        <v>716</v>
      </c>
      <c r="O31" s="43">
        <v>10</v>
      </c>
      <c r="P31" s="349" t="s">
        <v>415</v>
      </c>
      <c r="Q31" s="350" t="s">
        <v>416</v>
      </c>
      <c r="R31" s="43"/>
      <c r="S31" s="43"/>
      <c r="T31" s="43"/>
    </row>
    <row r="32" spans="1:20" ht="12.75" customHeight="1">
      <c r="A32" s="349" t="s">
        <v>417</v>
      </c>
      <c r="B32" s="349" t="s">
        <v>418</v>
      </c>
      <c r="C32" s="349" t="s">
        <v>414</v>
      </c>
      <c r="D32" s="349" t="s">
        <v>356</v>
      </c>
      <c r="E32" s="43">
        <v>1</v>
      </c>
      <c r="F32" s="349">
        <v>5</v>
      </c>
      <c r="G32" s="43">
        <f>I32*B53</f>
        <v>43.317999999999998</v>
      </c>
      <c r="H32" s="43">
        <f t="shared" si="5"/>
        <v>43.317999999999998</v>
      </c>
      <c r="I32" s="43">
        <v>0.60499999999999998</v>
      </c>
      <c r="J32" s="43">
        <f>L32*B53</f>
        <v>34.296399999999998</v>
      </c>
      <c r="K32" s="43">
        <f t="shared" si="1"/>
        <v>34.296399999999998</v>
      </c>
      <c r="L32" s="43">
        <v>0.47899999999999998</v>
      </c>
      <c r="M32" s="43">
        <f>O32*B53</f>
        <v>34.296399999999998</v>
      </c>
      <c r="N32" s="43">
        <f t="shared" si="4"/>
        <v>34.296399999999998</v>
      </c>
      <c r="O32" s="43">
        <v>0.47899999999999998</v>
      </c>
      <c r="P32" s="349" t="s">
        <v>404</v>
      </c>
      <c r="Q32" s="351" t="s">
        <v>419</v>
      </c>
      <c r="R32" s="43"/>
      <c r="S32" s="43"/>
      <c r="T32" s="43"/>
    </row>
    <row r="33" spans="1:46" ht="12.75" customHeight="1">
      <c r="A33" s="349" t="s">
        <v>420</v>
      </c>
      <c r="B33" s="349" t="s">
        <v>421</v>
      </c>
      <c r="C33" s="349" t="s">
        <v>414</v>
      </c>
      <c r="D33" s="349" t="s">
        <v>356</v>
      </c>
      <c r="E33" s="43">
        <v>1</v>
      </c>
      <c r="F33" s="349">
        <v>5</v>
      </c>
      <c r="G33" s="43">
        <f>I33*B53</f>
        <v>43.317999999999998</v>
      </c>
      <c r="H33" s="43">
        <f t="shared" si="5"/>
        <v>43.317999999999998</v>
      </c>
      <c r="I33" s="43">
        <v>0.60499999999999998</v>
      </c>
      <c r="J33" s="43">
        <f>L33*B53</f>
        <v>34.296399999999998</v>
      </c>
      <c r="K33" s="43">
        <f t="shared" si="1"/>
        <v>34.296399999999998</v>
      </c>
      <c r="L33" s="43">
        <v>0.47899999999999998</v>
      </c>
      <c r="M33" s="43">
        <f>O33*B53</f>
        <v>34.296399999999998</v>
      </c>
      <c r="N33" s="43">
        <f t="shared" si="4"/>
        <v>34.296399999999998</v>
      </c>
      <c r="O33" s="43">
        <v>0.47899999999999998</v>
      </c>
      <c r="P33" s="349" t="s">
        <v>422</v>
      </c>
      <c r="Q33" s="355" t="s">
        <v>423</v>
      </c>
      <c r="R33" s="43"/>
      <c r="S33" s="43"/>
      <c r="T33" s="43"/>
    </row>
    <row r="34" spans="1:46" ht="12.75" customHeight="1">
      <c r="A34" s="349" t="s">
        <v>424</v>
      </c>
      <c r="B34" s="349" t="s">
        <v>425</v>
      </c>
      <c r="C34" s="349" t="s">
        <v>426</v>
      </c>
      <c r="D34" s="349" t="s">
        <v>356</v>
      </c>
      <c r="E34" s="356">
        <v>1</v>
      </c>
      <c r="F34" s="349">
        <v>4</v>
      </c>
      <c r="G34" s="43">
        <f>I34*B53</f>
        <v>160.38400000000001</v>
      </c>
      <c r="H34" s="43">
        <f t="shared" si="5"/>
        <v>160.38400000000001</v>
      </c>
      <c r="I34" s="43">
        <v>2.2400000000000002</v>
      </c>
      <c r="J34" s="43">
        <f>L34*B53</f>
        <v>128.16399999999999</v>
      </c>
      <c r="K34" s="43">
        <f t="shared" si="1"/>
        <v>128.16399999999999</v>
      </c>
      <c r="L34" s="43">
        <v>1.79</v>
      </c>
      <c r="M34" s="43">
        <f>O34*B53</f>
        <v>128.16399999999999</v>
      </c>
      <c r="N34" s="43">
        <f t="shared" si="4"/>
        <v>128.16399999999999</v>
      </c>
      <c r="O34" s="43">
        <v>1.79</v>
      </c>
      <c r="P34" s="43" t="s">
        <v>427</v>
      </c>
      <c r="Q34" s="355" t="s">
        <v>428</v>
      </c>
      <c r="R34" s="43"/>
      <c r="S34" s="43"/>
      <c r="T34" s="43"/>
    </row>
    <row r="35" spans="1:46" ht="12.75" customHeight="1">
      <c r="A35" s="349" t="s">
        <v>429</v>
      </c>
      <c r="B35" s="349" t="s">
        <v>430</v>
      </c>
      <c r="C35" s="349" t="s">
        <v>414</v>
      </c>
      <c r="D35" s="349" t="s">
        <v>356</v>
      </c>
      <c r="E35" s="356">
        <v>1</v>
      </c>
      <c r="F35" s="356">
        <v>2</v>
      </c>
      <c r="G35" s="43">
        <v>50</v>
      </c>
      <c r="H35" s="43">
        <f t="shared" si="5"/>
        <v>50</v>
      </c>
      <c r="I35" s="356" t="s">
        <v>431</v>
      </c>
      <c r="J35" s="43">
        <v>50</v>
      </c>
      <c r="K35" s="43">
        <f t="shared" si="1"/>
        <v>50</v>
      </c>
      <c r="L35" s="356" t="s">
        <v>431</v>
      </c>
      <c r="M35" s="43">
        <v>50</v>
      </c>
      <c r="N35" s="43">
        <f t="shared" si="4"/>
        <v>50</v>
      </c>
      <c r="O35" s="356" t="s">
        <v>431</v>
      </c>
      <c r="P35" s="349" t="s">
        <v>404</v>
      </c>
      <c r="Q35" s="355" t="s">
        <v>432</v>
      </c>
      <c r="R35" s="43"/>
      <c r="S35" s="43"/>
      <c r="T35" s="43"/>
    </row>
    <row r="36" spans="1:46" ht="12.75" customHeight="1">
      <c r="A36" s="349" t="s">
        <v>433</v>
      </c>
      <c r="B36" s="349" t="s">
        <v>434</v>
      </c>
      <c r="C36" s="349" t="s">
        <v>435</v>
      </c>
      <c r="D36" s="349" t="s">
        <v>356</v>
      </c>
      <c r="E36" s="43">
        <v>1</v>
      </c>
      <c r="F36" s="43">
        <v>5</v>
      </c>
      <c r="G36" s="43">
        <f>I36*B53</f>
        <v>219.09599999999998</v>
      </c>
      <c r="H36" s="43">
        <f t="shared" si="5"/>
        <v>219.09599999999998</v>
      </c>
      <c r="I36" s="43">
        <v>3.06</v>
      </c>
      <c r="J36" s="43">
        <f>L36*B53</f>
        <v>219.09599999999998</v>
      </c>
      <c r="K36" s="43">
        <f t="shared" si="1"/>
        <v>219.09599999999998</v>
      </c>
      <c r="L36" s="43">
        <v>3.06</v>
      </c>
      <c r="M36" s="43">
        <f>O36*B53</f>
        <v>219.09599999999998</v>
      </c>
      <c r="N36" s="43">
        <f t="shared" si="4"/>
        <v>219.09599999999998</v>
      </c>
      <c r="O36" s="43">
        <v>3.06</v>
      </c>
      <c r="P36" s="349" t="s">
        <v>436</v>
      </c>
      <c r="Q36" s="350" t="s">
        <v>437</v>
      </c>
      <c r="R36" s="43"/>
      <c r="S36" s="43"/>
      <c r="T36" s="43"/>
    </row>
    <row r="37" spans="1:46" ht="12.75" customHeight="1">
      <c r="A37" s="346" t="s">
        <v>438</v>
      </c>
      <c r="B37" s="344"/>
      <c r="C37" s="344"/>
      <c r="D37" s="344"/>
      <c r="E37" s="345"/>
      <c r="F37" s="345"/>
      <c r="G37" s="346"/>
      <c r="H37" s="347"/>
      <c r="I37" s="347"/>
      <c r="J37" s="346"/>
      <c r="K37" s="347"/>
      <c r="L37" s="347"/>
      <c r="M37" s="347"/>
      <c r="N37" s="347"/>
      <c r="O37" s="347"/>
      <c r="P37" s="347"/>
      <c r="Q37" s="354"/>
      <c r="R37" s="43"/>
      <c r="S37" s="43"/>
      <c r="T37" s="43"/>
    </row>
    <row r="38" spans="1:46" ht="12.75" customHeight="1">
      <c r="A38" s="357" t="s">
        <v>439</v>
      </c>
      <c r="B38" s="349" t="s">
        <v>440</v>
      </c>
      <c r="C38" s="349" t="s">
        <v>414</v>
      </c>
      <c r="D38" s="349" t="s">
        <v>356</v>
      </c>
      <c r="E38" s="43">
        <v>2</v>
      </c>
      <c r="F38" s="43">
        <v>4</v>
      </c>
      <c r="G38" s="43">
        <f>I38*B53</f>
        <v>17.899999999999999</v>
      </c>
      <c r="H38" s="43">
        <f>E38*G38</f>
        <v>35.799999999999997</v>
      </c>
      <c r="I38" s="43">
        <v>0.25</v>
      </c>
      <c r="J38" s="43">
        <f>L38*B53</f>
        <v>17.899999999999999</v>
      </c>
      <c r="K38" s="43">
        <f t="shared" si="1"/>
        <v>35.799999999999997</v>
      </c>
      <c r="L38" s="43">
        <v>0.25</v>
      </c>
      <c r="M38" s="43">
        <f>O38*B53</f>
        <v>17.899999999999999</v>
      </c>
      <c r="N38" s="43">
        <f t="shared" si="4"/>
        <v>35.799999999999997</v>
      </c>
      <c r="O38" s="43">
        <v>0.25</v>
      </c>
      <c r="P38" s="349" t="s">
        <v>382</v>
      </c>
      <c r="Q38" s="355" t="s">
        <v>441</v>
      </c>
      <c r="R38" s="43"/>
      <c r="S38" s="43"/>
      <c r="T38" s="43"/>
      <c r="AN38" s="358"/>
      <c r="AO38" s="358"/>
      <c r="AP38" s="358"/>
      <c r="AQ38" s="359"/>
      <c r="AR38" s="359"/>
      <c r="AS38" s="359"/>
      <c r="AT38" s="359"/>
    </row>
    <row r="39" spans="1:46" ht="12.75" customHeight="1">
      <c r="A39" s="349" t="s">
        <v>442</v>
      </c>
      <c r="B39" s="349" t="s">
        <v>443</v>
      </c>
      <c r="C39" s="349" t="s">
        <v>414</v>
      </c>
      <c r="D39" s="349" t="s">
        <v>356</v>
      </c>
      <c r="E39" s="349">
        <v>2</v>
      </c>
      <c r="F39" s="349">
        <v>4</v>
      </c>
      <c r="G39" s="43">
        <f>I39*B53</f>
        <v>17.899999999999999</v>
      </c>
      <c r="H39" s="43">
        <f>E39*G39</f>
        <v>35.799999999999997</v>
      </c>
      <c r="I39" s="43">
        <v>0.25</v>
      </c>
      <c r="J39" s="43">
        <f>L39*B53</f>
        <v>17.899999999999999</v>
      </c>
      <c r="K39" s="43">
        <f t="shared" si="1"/>
        <v>35.799999999999997</v>
      </c>
      <c r="L39" s="43">
        <v>0.25</v>
      </c>
      <c r="M39" s="43">
        <f>O39*B53</f>
        <v>17.899999999999999</v>
      </c>
      <c r="N39" s="43">
        <f t="shared" si="4"/>
        <v>35.799999999999997</v>
      </c>
      <c r="O39" s="43">
        <v>0.25</v>
      </c>
      <c r="P39" s="349" t="s">
        <v>382</v>
      </c>
      <c r="Q39" s="355" t="s">
        <v>441</v>
      </c>
      <c r="R39" s="339"/>
      <c r="S39" s="339"/>
      <c r="T39" s="43"/>
      <c r="AN39" s="347"/>
      <c r="AO39" s="347"/>
    </row>
    <row r="40" spans="1:46" ht="12.75" customHeight="1">
      <c r="A40" s="346" t="s">
        <v>444</v>
      </c>
      <c r="B40" s="347"/>
      <c r="C40" s="347"/>
      <c r="D40" s="347"/>
      <c r="E40" s="347"/>
      <c r="F40" s="347"/>
      <c r="G40" s="346"/>
      <c r="H40" s="347"/>
      <c r="I40" s="347"/>
      <c r="J40" s="346"/>
      <c r="K40" s="347"/>
      <c r="L40" s="347"/>
      <c r="M40" s="347"/>
      <c r="N40" s="347">
        <f t="shared" si="4"/>
        <v>0</v>
      </c>
      <c r="O40" s="347"/>
      <c r="P40" s="347"/>
      <c r="Q40" s="354"/>
      <c r="R40" s="43"/>
      <c r="S40" s="43"/>
      <c r="T40" s="43"/>
      <c r="AN40" s="344"/>
      <c r="AO40" s="347"/>
    </row>
    <row r="41" spans="1:46" s="332" customFormat="1" ht="12.75" customHeight="1">
      <c r="A41" s="349" t="s">
        <v>445</v>
      </c>
      <c r="B41" s="349" t="s">
        <v>446</v>
      </c>
      <c r="C41" s="349" t="s">
        <v>414</v>
      </c>
      <c r="D41" s="349" t="s">
        <v>356</v>
      </c>
      <c r="E41" s="43">
        <v>1</v>
      </c>
      <c r="F41" s="43">
        <v>6</v>
      </c>
      <c r="G41" s="43">
        <f>I41*B53</f>
        <v>658.00399999999991</v>
      </c>
      <c r="H41" s="43">
        <f>E41*G41</f>
        <v>658.00399999999991</v>
      </c>
      <c r="I41" s="349">
        <v>9.19</v>
      </c>
      <c r="J41" s="43">
        <f>L41*B53</f>
        <v>658.00399999999991</v>
      </c>
      <c r="K41" s="43">
        <f t="shared" si="1"/>
        <v>658.00399999999991</v>
      </c>
      <c r="L41" s="349">
        <v>9.19</v>
      </c>
      <c r="M41" s="43">
        <f>O41*B53</f>
        <v>658.00399999999991</v>
      </c>
      <c r="N41" s="43">
        <f t="shared" si="4"/>
        <v>658.00399999999991</v>
      </c>
      <c r="O41" s="349">
        <v>9.19</v>
      </c>
      <c r="P41" s="43" t="s">
        <v>447</v>
      </c>
      <c r="Q41" s="351" t="s">
        <v>448</v>
      </c>
      <c r="R41" s="43"/>
      <c r="S41" s="43"/>
      <c r="T41" s="339"/>
    </row>
    <row r="42" spans="1:46" ht="12.75" customHeight="1">
      <c r="A42" s="346" t="s">
        <v>449</v>
      </c>
      <c r="B42" s="344"/>
      <c r="C42" s="344"/>
      <c r="D42" s="344"/>
      <c r="E42" s="345"/>
      <c r="F42" s="345"/>
      <c r="G42" s="346"/>
      <c r="H42" s="347"/>
      <c r="I42" s="347"/>
      <c r="J42" s="346"/>
      <c r="K42" s="347"/>
      <c r="L42" s="347"/>
      <c r="M42" s="347"/>
      <c r="N42" s="347"/>
      <c r="O42" s="347"/>
      <c r="P42" s="347"/>
      <c r="Q42" s="43"/>
      <c r="R42" s="43"/>
      <c r="S42" s="43"/>
      <c r="T42" s="43"/>
    </row>
    <row r="43" spans="1:46" ht="12.75" customHeight="1">
      <c r="A43" s="349" t="s">
        <v>450</v>
      </c>
      <c r="B43" s="349" t="s">
        <v>451</v>
      </c>
      <c r="C43" s="349" t="s">
        <v>414</v>
      </c>
      <c r="D43" s="43"/>
      <c r="E43" s="43">
        <v>1</v>
      </c>
      <c r="F43" s="43">
        <v>4</v>
      </c>
      <c r="G43" s="354">
        <v>6.69</v>
      </c>
      <c r="H43" s="43">
        <f>E43*G43</f>
        <v>6.69</v>
      </c>
      <c r="I43" s="356" t="s">
        <v>431</v>
      </c>
      <c r="J43" s="354">
        <v>5.5</v>
      </c>
      <c r="K43" s="43">
        <f t="shared" si="1"/>
        <v>5.5</v>
      </c>
      <c r="L43" s="356" t="s">
        <v>431</v>
      </c>
      <c r="M43" s="43">
        <v>5.0999999999999996</v>
      </c>
      <c r="N43" s="43">
        <f t="shared" si="4"/>
        <v>5.0999999999999996</v>
      </c>
      <c r="O43" s="356" t="s">
        <v>431</v>
      </c>
      <c r="P43" s="349" t="s">
        <v>382</v>
      </c>
      <c r="Q43" s="355" t="s">
        <v>452</v>
      </c>
      <c r="R43" s="43"/>
      <c r="S43" s="43"/>
      <c r="T43" s="43"/>
    </row>
    <row r="44" spans="1:46" ht="12.75" customHeight="1">
      <c r="A44" s="344" t="s">
        <v>47</v>
      </c>
      <c r="B44" s="344"/>
      <c r="C44" s="344"/>
      <c r="D44" s="344"/>
      <c r="E44" s="345"/>
      <c r="F44" s="347"/>
      <c r="G44" s="344"/>
      <c r="H44" s="347"/>
      <c r="I44" s="347"/>
      <c r="J44" s="346"/>
      <c r="K44" s="347"/>
      <c r="L44" s="347"/>
      <c r="M44" s="347"/>
      <c r="N44" s="347"/>
      <c r="O44" s="347"/>
      <c r="P44" s="353"/>
      <c r="Q44" s="348"/>
      <c r="R44" s="43"/>
      <c r="S44" s="43"/>
      <c r="T44" s="43"/>
    </row>
    <row r="45" spans="1:46" ht="18.75" customHeight="1">
      <c r="A45" s="354" t="s">
        <v>47</v>
      </c>
      <c r="B45" s="349" t="s">
        <v>453</v>
      </c>
      <c r="C45" s="349" t="s">
        <v>431</v>
      </c>
      <c r="D45" s="349" t="s">
        <v>356</v>
      </c>
      <c r="E45" s="356">
        <v>1</v>
      </c>
      <c r="F45" s="356">
        <v>2</v>
      </c>
      <c r="G45" s="354">
        <v>120</v>
      </c>
      <c r="H45" s="43">
        <f>E45*G45</f>
        <v>120</v>
      </c>
      <c r="I45" s="356" t="s">
        <v>431</v>
      </c>
      <c r="J45" s="354">
        <v>120</v>
      </c>
      <c r="K45" s="43">
        <f t="shared" ref="K45" si="6">E45*J45</f>
        <v>120</v>
      </c>
      <c r="L45" s="356" t="s">
        <v>431</v>
      </c>
      <c r="M45" s="354">
        <v>120</v>
      </c>
      <c r="N45" s="43">
        <f t="shared" si="4"/>
        <v>120</v>
      </c>
      <c r="O45" s="356" t="s">
        <v>431</v>
      </c>
      <c r="P45" s="349" t="s">
        <v>454</v>
      </c>
      <c r="Q45" s="355" t="s">
        <v>455</v>
      </c>
      <c r="R45" s="43"/>
      <c r="S45" s="43"/>
      <c r="T45" s="43"/>
    </row>
    <row r="46" spans="1:46" ht="12.75" customHeight="1">
      <c r="A46" s="339"/>
      <c r="B46" s="43"/>
      <c r="C46" s="43"/>
      <c r="D46" s="360" t="s">
        <v>456</v>
      </c>
      <c r="E46" s="361">
        <v>34</v>
      </c>
      <c r="F46" s="361">
        <v>147</v>
      </c>
      <c r="G46" s="361"/>
      <c r="H46" s="362">
        <f>SUM(H13:H45)</f>
        <v>2369.37556</v>
      </c>
      <c r="I46" s="43"/>
      <c r="J46" s="361"/>
      <c r="K46" s="362">
        <f>SUM(K13:K45)</f>
        <v>2121.0223599999999</v>
      </c>
      <c r="L46" s="43"/>
      <c r="M46" s="43"/>
      <c r="N46" s="362">
        <f>SUM(N13:N45)</f>
        <v>2081.4571599999995</v>
      </c>
      <c r="O46" s="43"/>
      <c r="P46" s="43"/>
      <c r="Q46" s="348"/>
      <c r="R46" s="43"/>
      <c r="S46" s="43"/>
      <c r="T46" s="43"/>
    </row>
    <row r="47" spans="1:46" ht="13.5" customHeight="1">
      <c r="A47" s="354"/>
      <c r="B47" s="354"/>
      <c r="C47" s="43"/>
      <c r="D47" s="360" t="s">
        <v>457</v>
      </c>
      <c r="E47" s="354"/>
      <c r="F47" s="354"/>
      <c r="G47" s="363"/>
      <c r="H47" s="362">
        <f>B54*H46</f>
        <v>2369375.56</v>
      </c>
      <c r="I47" s="354"/>
      <c r="J47" s="363"/>
      <c r="K47" s="362">
        <f>B54*K46</f>
        <v>2121022.36</v>
      </c>
      <c r="L47" s="43"/>
      <c r="M47" s="43"/>
      <c r="N47" s="362">
        <f>B54*N46</f>
        <v>2081457.1599999995</v>
      </c>
      <c r="O47" s="43"/>
      <c r="P47" s="43"/>
      <c r="Q47" s="354"/>
      <c r="R47" s="43"/>
      <c r="S47" s="43"/>
      <c r="T47" s="43"/>
    </row>
    <row r="48" spans="1:46" ht="12.75" customHeight="1">
      <c r="A48" s="364"/>
      <c r="B48" s="364"/>
      <c r="C48" s="339"/>
      <c r="D48" s="360" t="s">
        <v>458</v>
      </c>
      <c r="E48" s="335"/>
      <c r="F48" s="43"/>
      <c r="G48" s="364"/>
      <c r="H48" s="362">
        <f>(B55*B54)+H47</f>
        <v>3359375.56</v>
      </c>
      <c r="I48" s="43"/>
      <c r="J48" s="354"/>
      <c r="K48" s="362">
        <f>(B55*B54)+K47</f>
        <v>3111022.36</v>
      </c>
      <c r="L48" s="43"/>
      <c r="M48" s="43"/>
      <c r="N48" s="362">
        <f>(B55*B54)+N47</f>
        <v>3071457.1599999992</v>
      </c>
      <c r="O48" s="43"/>
      <c r="P48" s="43"/>
      <c r="Q48" s="348"/>
      <c r="R48" s="43"/>
      <c r="S48" s="43"/>
      <c r="T48" s="43"/>
    </row>
    <row r="49" spans="1:43" ht="24" customHeight="1">
      <c r="A49" s="354"/>
      <c r="B49" s="354"/>
      <c r="C49" s="43"/>
      <c r="D49" s="365" t="s">
        <v>459</v>
      </c>
      <c r="E49" s="335"/>
      <c r="F49" s="335"/>
      <c r="G49" s="354"/>
      <c r="H49" s="362">
        <f>(B56*B54)+H48</f>
        <v>3383075.56</v>
      </c>
      <c r="I49" s="43"/>
      <c r="J49" s="354"/>
      <c r="K49" s="362">
        <f>(B57*B55)+K48</f>
        <v>3134485.36</v>
      </c>
      <c r="L49" s="43"/>
      <c r="M49" s="43"/>
      <c r="N49" s="362">
        <f>(B58*B55)+N48</f>
        <v>3094920.1599999992</v>
      </c>
      <c r="O49" s="43"/>
      <c r="P49" s="43"/>
      <c r="Q49" s="355"/>
      <c r="R49" s="43"/>
      <c r="S49" s="43"/>
      <c r="T49" s="43"/>
    </row>
    <row r="50" spans="1:43" ht="12.75" customHeight="1">
      <c r="A50" s="364"/>
      <c r="B50" s="354"/>
      <c r="C50" s="43"/>
      <c r="D50" s="366" t="s">
        <v>460</v>
      </c>
      <c r="E50" s="367"/>
      <c r="F50" s="367"/>
      <c r="G50" s="361"/>
      <c r="H50" s="366">
        <f>H49/B54</f>
        <v>3383.0755600000002</v>
      </c>
      <c r="I50" s="367"/>
      <c r="J50" s="361"/>
      <c r="K50" s="366">
        <f>K49/B54</f>
        <v>3134.4853599999997</v>
      </c>
      <c r="L50" s="367"/>
      <c r="M50" s="367"/>
      <c r="N50" s="366">
        <f>N49/B54</f>
        <v>3094.9201599999992</v>
      </c>
      <c r="O50" s="43"/>
      <c r="P50" s="43"/>
      <c r="Q50" s="354"/>
      <c r="R50" s="43"/>
      <c r="S50" s="43"/>
      <c r="T50" s="43"/>
    </row>
    <row r="51" spans="1:43" ht="12.75" customHeight="1">
      <c r="A51" s="354"/>
      <c r="B51" s="354"/>
      <c r="C51" s="43"/>
      <c r="D51" s="43"/>
      <c r="E51" s="43"/>
      <c r="F51" s="43"/>
      <c r="G51" s="354"/>
      <c r="H51" s="43"/>
      <c r="I51" s="43"/>
      <c r="J51" s="354"/>
      <c r="K51" s="43"/>
      <c r="L51" s="43"/>
      <c r="M51" s="43"/>
      <c r="N51" s="43"/>
      <c r="O51" s="43"/>
      <c r="P51" s="43"/>
      <c r="Q51" s="354"/>
      <c r="R51" s="43"/>
      <c r="S51" s="43"/>
      <c r="T51" s="43"/>
    </row>
    <row r="52" spans="1:43" ht="12.75" customHeight="1">
      <c r="A52" s="368"/>
      <c r="D52" s="369"/>
      <c r="E52" s="369"/>
      <c r="F52" s="369"/>
      <c r="G52" s="369"/>
      <c r="Q52" s="370" t="s">
        <v>461</v>
      </c>
      <c r="R52" s="369"/>
      <c r="S52" s="369"/>
      <c r="T52" s="369"/>
    </row>
    <row r="53" spans="1:43" ht="12.75" customHeight="1">
      <c r="A53" s="371" t="s">
        <v>462</v>
      </c>
      <c r="B53" s="372">
        <v>71.599999999999994</v>
      </c>
      <c r="Q53" s="373" t="s">
        <v>406</v>
      </c>
      <c r="R53" s="373" t="s">
        <v>407</v>
      </c>
      <c r="S53" s="373" t="s">
        <v>402</v>
      </c>
      <c r="T53" s="373" t="s">
        <v>408</v>
      </c>
      <c r="U53" s="374">
        <v>1</v>
      </c>
      <c r="V53" s="374">
        <v>2</v>
      </c>
      <c r="W53" s="374">
        <v>3</v>
      </c>
      <c r="X53" s="374"/>
      <c r="Y53" s="374"/>
      <c r="Z53" s="374">
        <v>3</v>
      </c>
      <c r="AA53" s="374"/>
      <c r="AB53" s="374"/>
      <c r="AC53" s="374"/>
      <c r="AD53" s="374"/>
      <c r="AE53" s="374"/>
      <c r="AF53" s="374" t="s">
        <v>463</v>
      </c>
      <c r="AG53" s="375" t="s">
        <v>464</v>
      </c>
      <c r="AH53" s="376"/>
      <c r="AI53" s="376"/>
      <c r="AJ53" s="376"/>
      <c r="AK53" s="376"/>
      <c r="AL53" s="376"/>
      <c r="AM53" s="376"/>
      <c r="AN53" s="376"/>
      <c r="AO53" s="376"/>
      <c r="AP53" s="376"/>
      <c r="AQ53" s="376"/>
    </row>
    <row r="54" spans="1:43" ht="12.75" customHeight="1">
      <c r="A54" s="377" t="s">
        <v>465</v>
      </c>
      <c r="B54" s="378">
        <v>1000</v>
      </c>
      <c r="Q54" s="373" t="s">
        <v>412</v>
      </c>
      <c r="R54" s="373" t="s">
        <v>413</v>
      </c>
      <c r="S54" s="373" t="s">
        <v>414</v>
      </c>
      <c r="T54" s="373" t="s">
        <v>356</v>
      </c>
      <c r="U54" s="374">
        <v>1</v>
      </c>
      <c r="V54" s="374">
        <v>64</v>
      </c>
      <c r="W54" s="374">
        <f>Y54*X60</f>
        <v>0</v>
      </c>
      <c r="X54" s="374"/>
      <c r="Y54" s="374">
        <v>17.7</v>
      </c>
      <c r="Z54" s="374">
        <f>AB54*X60</f>
        <v>0</v>
      </c>
      <c r="AA54" s="374"/>
      <c r="AB54" s="374"/>
      <c r="AC54" s="374"/>
      <c r="AD54" s="374"/>
      <c r="AE54" s="374"/>
      <c r="AF54" s="374"/>
      <c r="AG54" s="375" t="s">
        <v>466</v>
      </c>
      <c r="AH54" s="376"/>
      <c r="AI54" s="376"/>
      <c r="AJ54" s="376"/>
      <c r="AK54" s="376"/>
      <c r="AL54" s="376"/>
      <c r="AM54" s="376"/>
      <c r="AN54" s="376"/>
      <c r="AO54" s="376"/>
      <c r="AP54" s="376"/>
      <c r="AQ54" s="376"/>
    </row>
    <row r="55" spans="1:43" ht="12.75" customHeight="1">
      <c r="A55" s="377" t="s">
        <v>467</v>
      </c>
      <c r="B55" s="378">
        <v>990</v>
      </c>
      <c r="Q55" s="373" t="s">
        <v>440</v>
      </c>
      <c r="R55" s="373" t="s">
        <v>414</v>
      </c>
      <c r="S55" s="373" t="s">
        <v>356</v>
      </c>
      <c r="T55" s="374">
        <v>2</v>
      </c>
      <c r="U55" s="374">
        <v>4</v>
      </c>
      <c r="V55" s="373">
        <v>15</v>
      </c>
      <c r="W55" s="374"/>
      <c r="X55" s="374"/>
      <c r="Y55" s="373">
        <v>15</v>
      </c>
      <c r="Z55" s="374"/>
      <c r="AA55" s="374"/>
      <c r="AB55" s="374"/>
      <c r="AC55" s="374"/>
      <c r="AD55" s="374"/>
      <c r="AE55" s="374"/>
      <c r="AF55" s="379" t="s">
        <v>468</v>
      </c>
      <c r="AG55" s="374"/>
      <c r="AH55" s="376"/>
      <c r="AI55" s="376"/>
      <c r="AJ55" s="376"/>
      <c r="AK55" s="376"/>
      <c r="AL55" s="376"/>
      <c r="AM55" s="376"/>
      <c r="AN55" s="376"/>
      <c r="AO55" s="376"/>
      <c r="AP55" s="376"/>
      <c r="AQ55" s="376"/>
    </row>
    <row r="56" spans="1:43" ht="25.5" customHeight="1">
      <c r="A56" s="380" t="s">
        <v>469</v>
      </c>
      <c r="B56" s="378">
        <v>23.7</v>
      </c>
      <c r="Q56" s="373" t="s">
        <v>443</v>
      </c>
      <c r="R56" s="373" t="s">
        <v>414</v>
      </c>
      <c r="S56" s="373" t="s">
        <v>356</v>
      </c>
      <c r="T56" s="373">
        <v>2</v>
      </c>
      <c r="U56" s="373">
        <v>4</v>
      </c>
      <c r="V56" s="373">
        <v>15</v>
      </c>
      <c r="W56" s="374"/>
      <c r="X56" s="374"/>
      <c r="Y56" s="373">
        <v>15</v>
      </c>
      <c r="Z56" s="374"/>
      <c r="AA56" s="374"/>
      <c r="AB56" s="381"/>
      <c r="AC56" s="374"/>
      <c r="AD56" s="374"/>
      <c r="AE56" s="381"/>
      <c r="AF56" s="375" t="s">
        <v>470</v>
      </c>
      <c r="AG56" s="381"/>
      <c r="AH56" s="376"/>
      <c r="AI56" s="376"/>
      <c r="AJ56" s="376"/>
      <c r="AK56" s="376"/>
      <c r="AL56" s="376"/>
      <c r="AM56" s="376"/>
      <c r="AN56" s="376"/>
      <c r="AO56" s="376"/>
      <c r="AP56" s="376"/>
      <c r="AQ56" s="376"/>
    </row>
    <row r="57" spans="1:43" ht="24" customHeight="1">
      <c r="A57" s="380" t="s">
        <v>471</v>
      </c>
      <c r="B57" s="378">
        <v>23.7</v>
      </c>
      <c r="D57" s="369"/>
      <c r="E57" s="369"/>
      <c r="F57" s="369"/>
      <c r="G57" s="369"/>
      <c r="Q57" s="369"/>
      <c r="R57" s="369"/>
      <c r="S57" s="369"/>
      <c r="T57" s="369"/>
    </row>
    <row r="58" spans="1:43" ht="30" customHeight="1">
      <c r="A58" s="380" t="s">
        <v>472</v>
      </c>
      <c r="B58" s="378">
        <v>23.7</v>
      </c>
      <c r="D58" s="369"/>
      <c r="E58" s="369"/>
      <c r="F58" s="369"/>
      <c r="G58" s="369"/>
    </row>
    <row r="59" spans="1:43" ht="12.75" customHeight="1">
      <c r="A59" s="382"/>
      <c r="B59" s="369"/>
      <c r="C59" s="369"/>
      <c r="D59" s="369"/>
      <c r="E59" s="369"/>
      <c r="F59" s="369"/>
      <c r="G59" s="369"/>
      <c r="I59" s="369"/>
      <c r="J59" s="369"/>
      <c r="K59" s="369"/>
      <c r="L59" s="369"/>
    </row>
    <row r="60" spans="1:43" ht="12.75" customHeight="1">
      <c r="A60" s="383" t="s">
        <v>473</v>
      </c>
      <c r="B60" s="384"/>
      <c r="C60" s="385"/>
      <c r="D60" s="370"/>
    </row>
    <row r="61" spans="1:43" ht="12.75" customHeight="1">
      <c r="A61" s="386" t="s">
        <v>474</v>
      </c>
      <c r="B61" s="387"/>
      <c r="C61" s="387"/>
      <c r="D61" s="370"/>
    </row>
    <row r="62" spans="1:43" ht="12.75" customHeight="1">
      <c r="A62" s="388"/>
      <c r="B62" s="369"/>
      <c r="C62" s="369"/>
      <c r="D62" s="369"/>
    </row>
    <row r="63" spans="1:43" ht="12.75" customHeight="1">
      <c r="D63" s="369"/>
    </row>
  </sheetData>
  <mergeCells count="8">
    <mergeCell ref="B7:F7"/>
    <mergeCell ref="B8:F8"/>
    <mergeCell ref="B1:F1"/>
    <mergeCell ref="B2:F2"/>
    <mergeCell ref="B3:F3"/>
    <mergeCell ref="B4:F4"/>
    <mergeCell ref="B5:F5"/>
    <mergeCell ref="B6:F6"/>
  </mergeCells>
  <hyperlinks>
    <hyperlink ref="Q22" r:id="rId1" xr:uid="{14014DF1-35AC-7541-ABE5-A18EADE03C15}"/>
    <hyperlink ref="Q21" r:id="rId2" xr:uid="{7B8A2BEF-4407-914D-ADBB-2F6E20B82FAF}"/>
    <hyperlink ref="Q32" r:id="rId3" xr:uid="{6C7BF212-198D-A041-96DC-5536F17935FF}"/>
    <hyperlink ref="Q33" r:id="rId4" xr:uid="{8EC2D874-B3D9-8542-A6B8-666EA314A6F4}"/>
    <hyperlink ref="Q34" r:id="rId5" xr:uid="{1170FE53-40B0-A640-8AD2-52F520A1C0CB}"/>
    <hyperlink ref="Q35" r:id="rId6" xr:uid="{774DD681-DBBE-B947-BB0B-D513939B92D1}"/>
    <hyperlink ref="Q38" r:id="rId7" xr:uid="{9986EF1E-12D0-9344-931B-9780045DD4F0}"/>
    <hyperlink ref="Q39" r:id="rId8" xr:uid="{ED960923-9096-9F48-8F06-A14B1C461581}"/>
    <hyperlink ref="Q43" r:id="rId9" xr:uid="{DD36BC9C-1E40-A147-BA16-65D88974A9EE}"/>
    <hyperlink ref="Q41" r:id="rId10" xr:uid="{BD7F4D55-2747-F24B-BF0C-EE33C293B2BB}"/>
    <hyperlink ref="Q45" r:id="rId11" xr:uid="{B7BFF768-9EE6-7149-B8B3-5C81D4DBB461}"/>
    <hyperlink ref="Q23" r:id="rId12" xr:uid="{71E2ABB7-A352-2849-BCB2-D477C3515243}"/>
    <hyperlink ref="Q24" r:id="rId13" xr:uid="{19F18577-E9B2-3143-8BF3-7717AA8B07D0}"/>
    <hyperlink ref="Q25" r:id="rId14" xr:uid="{F374BDB1-C00D-4045-BC9E-69F87D0C66BC}"/>
    <hyperlink ref="Q26" r:id="rId15" xr:uid="{6CA45925-F249-0944-BE4D-2120FB255C50}"/>
    <hyperlink ref="Q13" r:id="rId16" xr:uid="{041904F4-7EB8-8744-9F7E-EFBED6EFD340}"/>
    <hyperlink ref="Q14" r:id="rId17" xr:uid="{DEB9A981-A93D-D641-8620-9C40935C66E1}"/>
    <hyperlink ref="Q15" r:id="rId18" xr:uid="{B9B92FCF-B229-5C48-9E68-7655E829EEDE}"/>
    <hyperlink ref="Q16" r:id="rId19" xr:uid="{D800553E-21C5-9844-80D4-0189DBD87636}"/>
    <hyperlink ref="Q17" r:id="rId20" xr:uid="{70467571-86D6-AD48-B498-107764397E19}"/>
    <hyperlink ref="Q18" r:id="rId21" xr:uid="{F412F057-41A0-744A-9E55-35713C98A06B}"/>
    <hyperlink ref="Q19" r:id="rId22" xr:uid="{069B75A4-EED3-F543-BF51-A9A33D238BBB}"/>
    <hyperlink ref="AG53" r:id="rId23" xr:uid="{0A5A7486-CEE9-094D-B96F-793B3DEC78BB}"/>
    <hyperlink ref="Q28" r:id="rId24" xr:uid="{E7D655EE-BA37-0E46-B41E-614F0FF5C13D}"/>
    <hyperlink ref="Q29" r:id="rId25" xr:uid="{73742EC1-1246-A045-ADDD-28C64D351F16}"/>
    <hyperlink ref="Q36" r:id="rId26" xr:uid="{A347B7FE-699D-9446-AB73-676D396BDD76}"/>
    <hyperlink ref="AG54" r:id="rId27" xr:uid="{01A87EDF-B0AB-8B4C-95A2-FD8FA2B19608}"/>
    <hyperlink ref="Q31" r:id="rId28" xr:uid="{3926D278-3737-CC4E-8763-9E5FA0004869}"/>
    <hyperlink ref="AF55" r:id="rId29" xr:uid="{DBA0D51F-FCF1-CB46-811B-FA19AFA12914}"/>
    <hyperlink ref="AF56" r:id="rId30" xr:uid="{D5C453D0-68AB-8C40-9544-3B77995EEB7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C1F6-3F07-D948-8929-71F6D97790F3}">
  <sheetPr>
    <tabColor theme="9" tint="-0.249977111117893"/>
  </sheetPr>
  <dimension ref="A1:H48"/>
  <sheetViews>
    <sheetView zoomScaleNormal="100" workbookViewId="0">
      <selection activeCell="G7" sqref="G7"/>
    </sheetView>
  </sheetViews>
  <sheetFormatPr baseColWidth="10" defaultRowHeight="15"/>
  <cols>
    <col min="1" max="1" width="5.5" customWidth="1"/>
    <col min="2" max="2" width="43.33203125" customWidth="1"/>
    <col min="3" max="6" width="16.33203125" customWidth="1"/>
    <col min="7" max="8" width="16.1640625" customWidth="1"/>
  </cols>
  <sheetData>
    <row r="1" spans="1:8" s="44" customFormat="1"/>
    <row r="2" spans="1:8" s="44" customFormat="1" ht="16">
      <c r="A2" s="42" t="s">
        <v>481</v>
      </c>
    </row>
    <row r="3" spans="1:8" s="44" customFormat="1"/>
    <row r="4" spans="1:8" s="44" customFormat="1">
      <c r="A4" s="290"/>
      <c r="B4" s="290" t="s">
        <v>480</v>
      </c>
      <c r="C4" s="46" t="s">
        <v>49</v>
      </c>
      <c r="D4" s="47">
        <v>50</v>
      </c>
      <c r="E4" s="46" t="s">
        <v>50</v>
      </c>
      <c r="F4" s="47">
        <v>10000</v>
      </c>
      <c r="G4" s="46" t="s">
        <v>50</v>
      </c>
      <c r="H4" s="47">
        <v>100000</v>
      </c>
    </row>
    <row r="5" spans="1:8" s="44" customFormat="1">
      <c r="A5" s="291"/>
      <c r="B5" s="291"/>
      <c r="C5" s="46" t="s">
        <v>45</v>
      </c>
      <c r="D5" s="46" t="s">
        <v>46</v>
      </c>
      <c r="E5" s="46" t="s">
        <v>45</v>
      </c>
      <c r="F5" s="46" t="s">
        <v>46</v>
      </c>
      <c r="G5" s="46" t="s">
        <v>45</v>
      </c>
      <c r="H5" s="46" t="s">
        <v>46</v>
      </c>
    </row>
    <row r="6" spans="1:8" s="44" customFormat="1">
      <c r="A6" s="45">
        <v>1</v>
      </c>
      <c r="B6" s="43" t="s">
        <v>475</v>
      </c>
      <c r="C6" s="264">
        <f>Компл!H46</f>
        <v>2369.37556</v>
      </c>
      <c r="D6" s="49">
        <f>C6*D4</f>
        <v>118468.77799999999</v>
      </c>
      <c r="E6" s="50">
        <f>Компл!K46</f>
        <v>2121.0223599999999</v>
      </c>
      <c r="F6" s="50">
        <f>E6*F4</f>
        <v>21210223.599999998</v>
      </c>
      <c r="G6" s="50">
        <f>Компл!N46*0.8</f>
        <v>1665.1657279999997</v>
      </c>
      <c r="H6" s="49">
        <f>G6*H4</f>
        <v>166516572.79999998</v>
      </c>
    </row>
    <row r="7" spans="1:8" s="44" customFormat="1">
      <c r="A7" s="45">
        <v>2</v>
      </c>
      <c r="B7" s="43" t="s">
        <v>476</v>
      </c>
      <c r="C7" s="262">
        <v>24</v>
      </c>
      <c r="D7" s="49">
        <f>20600+C7*D4</f>
        <v>21800</v>
      </c>
      <c r="E7" s="48">
        <v>24</v>
      </c>
      <c r="F7" s="49">
        <f>20600+E7*F4</f>
        <v>260600</v>
      </c>
      <c r="G7" s="48">
        <v>12</v>
      </c>
      <c r="H7" s="49">
        <f>G7*H4</f>
        <v>1200000</v>
      </c>
    </row>
    <row r="8" spans="1:8" s="44" customFormat="1">
      <c r="A8" s="45">
        <v>3</v>
      </c>
      <c r="B8" s="43" t="s">
        <v>477</v>
      </c>
      <c r="C8" s="262">
        <v>174</v>
      </c>
      <c r="D8" s="49">
        <f>C8*D4</f>
        <v>8700</v>
      </c>
      <c r="E8" s="48">
        <v>95</v>
      </c>
      <c r="F8" s="49">
        <f>E8*F4</f>
        <v>950000</v>
      </c>
      <c r="G8" s="48">
        <v>41</v>
      </c>
      <c r="H8" s="49">
        <f>G8*H4</f>
        <v>4100000</v>
      </c>
    </row>
    <row r="9" spans="1:8" s="44" customFormat="1">
      <c r="A9" s="45"/>
      <c r="B9" s="43"/>
      <c r="C9" s="263"/>
      <c r="D9" s="49"/>
      <c r="E9" s="50"/>
      <c r="F9" s="50"/>
      <c r="G9" s="50"/>
      <c r="H9" s="49"/>
    </row>
    <row r="10" spans="1:8" s="44" customFormat="1">
      <c r="A10" s="45">
        <v>4</v>
      </c>
      <c r="B10" s="43" t="s">
        <v>42</v>
      </c>
      <c r="C10" s="262">
        <v>1900</v>
      </c>
      <c r="D10" s="49">
        <f>C10*D4</f>
        <v>95000</v>
      </c>
      <c r="E10" s="48">
        <f>C10/100*20</f>
        <v>380</v>
      </c>
      <c r="F10" s="49">
        <f>E10*F4</f>
        <v>3800000</v>
      </c>
      <c r="G10" s="48">
        <f>E10/100*30</f>
        <v>114</v>
      </c>
      <c r="H10" s="49">
        <f>G10*H4</f>
        <v>11400000</v>
      </c>
    </row>
    <row r="11" spans="1:8" s="44" customFormat="1">
      <c r="A11" s="45">
        <v>5</v>
      </c>
      <c r="B11" s="43" t="s">
        <v>478</v>
      </c>
      <c r="C11" s="262">
        <v>990</v>
      </c>
      <c r="D11" s="49">
        <f>C11*D4</f>
        <v>49500</v>
      </c>
      <c r="E11" s="48">
        <f>C11/100*30</f>
        <v>297</v>
      </c>
      <c r="F11" s="49">
        <f>E11*F4</f>
        <v>2970000</v>
      </c>
      <c r="G11" s="48">
        <f>E11/100*40</f>
        <v>118.80000000000001</v>
      </c>
      <c r="H11" s="49">
        <f>G11*H4</f>
        <v>11880000.000000002</v>
      </c>
    </row>
    <row r="12" spans="1:8" s="44" customFormat="1">
      <c r="A12" s="45"/>
      <c r="B12" s="43"/>
      <c r="C12" s="264"/>
      <c r="D12" s="50"/>
      <c r="E12" s="50"/>
      <c r="F12" s="50"/>
      <c r="G12" s="50"/>
      <c r="H12" s="49"/>
    </row>
    <row r="13" spans="1:8" s="44" customFormat="1">
      <c r="A13" s="45">
        <v>6</v>
      </c>
      <c r="B13" s="43" t="s">
        <v>41</v>
      </c>
      <c r="C13" s="262">
        <v>300</v>
      </c>
      <c r="D13" s="49">
        <f>C13*D4</f>
        <v>15000</v>
      </c>
      <c r="E13" s="48">
        <v>100</v>
      </c>
      <c r="F13" s="49">
        <f>E13*F4</f>
        <v>1000000</v>
      </c>
      <c r="G13" s="48">
        <v>90</v>
      </c>
      <c r="H13" s="49">
        <f>G13*H4</f>
        <v>9000000</v>
      </c>
    </row>
    <row r="14" spans="1:8" s="44" customFormat="1">
      <c r="A14" s="45">
        <v>7</v>
      </c>
      <c r="B14" s="43" t="s">
        <v>43</v>
      </c>
      <c r="C14" s="262">
        <v>65</v>
      </c>
      <c r="D14" s="50">
        <f>C14*D4</f>
        <v>3250</v>
      </c>
      <c r="E14" s="48">
        <v>40</v>
      </c>
      <c r="F14" s="49">
        <f>E14*F4</f>
        <v>400000</v>
      </c>
      <c r="G14" s="48">
        <v>40</v>
      </c>
      <c r="H14" s="49">
        <f>G14*H4</f>
        <v>4000000</v>
      </c>
    </row>
    <row r="15" spans="1:8" s="44" customFormat="1">
      <c r="A15" s="45">
        <v>8</v>
      </c>
      <c r="B15" s="43" t="s">
        <v>149</v>
      </c>
      <c r="C15" s="48">
        <v>100</v>
      </c>
      <c r="D15" s="50">
        <f>C15*D4</f>
        <v>5000</v>
      </c>
      <c r="E15" s="48">
        <v>50</v>
      </c>
      <c r="F15" s="50">
        <f>E15*F4</f>
        <v>500000</v>
      </c>
      <c r="G15" s="48">
        <v>40</v>
      </c>
      <c r="H15" s="50">
        <f>G15*H4</f>
        <v>4000000</v>
      </c>
    </row>
    <row r="16" spans="1:8" s="44" customFormat="1">
      <c r="A16" s="45"/>
      <c r="B16" s="43"/>
      <c r="C16" s="49"/>
      <c r="D16" s="49"/>
      <c r="E16" s="49"/>
      <c r="F16" s="49"/>
      <c r="G16" s="49"/>
      <c r="H16" s="49"/>
    </row>
    <row r="17" spans="1:8" s="44" customFormat="1">
      <c r="A17" s="45">
        <v>9</v>
      </c>
      <c r="B17" s="43" t="s">
        <v>44</v>
      </c>
      <c r="C17" s="50">
        <f>SUM(C6:C15)/100*15</f>
        <v>888.35633400000006</v>
      </c>
      <c r="D17" s="49">
        <f>C17*D4</f>
        <v>44417.816700000003</v>
      </c>
      <c r="E17" s="50">
        <f>SUM(E6:E15)/100*10</f>
        <v>310.70223599999997</v>
      </c>
      <c r="F17" s="49">
        <f>E17*F4</f>
        <v>3107022.36</v>
      </c>
      <c r="G17" s="50">
        <f>SUM(G6:G15)/100*5</f>
        <v>106.04828639999999</v>
      </c>
      <c r="H17" s="49">
        <f>G17*H4</f>
        <v>10604828.639999999</v>
      </c>
    </row>
    <row r="18" spans="1:8" s="44" customFormat="1">
      <c r="A18" s="45"/>
      <c r="B18" s="326"/>
      <c r="C18" s="49"/>
      <c r="D18" s="49"/>
      <c r="E18" s="49"/>
      <c r="F18" s="49"/>
      <c r="G18" s="49"/>
      <c r="H18" s="49"/>
    </row>
    <row r="19" spans="1:8">
      <c r="A19" s="288" t="s">
        <v>479</v>
      </c>
      <c r="B19" s="289"/>
      <c r="C19" s="51">
        <f>SUM(C6:C18)</f>
        <v>6810.7318940000005</v>
      </c>
      <c r="D19" s="51">
        <f>SUM(D6:D18)</f>
        <v>361136.59470000002</v>
      </c>
      <c r="E19" s="51">
        <f>SUM(E6:E18)</f>
        <v>3417.724596</v>
      </c>
      <c r="F19" s="51">
        <f>SUM(F6:F18)</f>
        <v>34197845.960000001</v>
      </c>
      <c r="G19" s="51">
        <f>SUM(G6:G18)</f>
        <v>2227.0140143999997</v>
      </c>
      <c r="H19" s="51">
        <f>SUM(H6:H18)</f>
        <v>222701401.43999997</v>
      </c>
    </row>
    <row r="35" spans="1:8">
      <c r="A35" s="290" t="s">
        <v>48</v>
      </c>
      <c r="B35" s="290" t="s">
        <v>327</v>
      </c>
      <c r="C35" s="46" t="s">
        <v>328</v>
      </c>
      <c r="D35" s="266">
        <v>100</v>
      </c>
      <c r="E35" s="46" t="s">
        <v>329</v>
      </c>
      <c r="F35" s="266">
        <v>10000</v>
      </c>
      <c r="G35" s="46" t="s">
        <v>329</v>
      </c>
      <c r="H35" s="266">
        <v>100000</v>
      </c>
    </row>
    <row r="36" spans="1:8">
      <c r="A36" s="291"/>
      <c r="B36" s="291"/>
      <c r="C36" s="46" t="s">
        <v>330</v>
      </c>
      <c r="D36" s="46" t="s">
        <v>332</v>
      </c>
      <c r="E36" s="46" t="s">
        <v>330</v>
      </c>
      <c r="F36" s="46" t="s">
        <v>332</v>
      </c>
      <c r="G36" s="46" t="s">
        <v>330</v>
      </c>
      <c r="H36" s="46" t="s">
        <v>332</v>
      </c>
    </row>
    <row r="37" spans="1:8">
      <c r="A37" s="43"/>
      <c r="B37" s="45"/>
      <c r="C37" s="264">
        <f>+Компл!H46</f>
        <v>2369.37556</v>
      </c>
      <c r="D37" s="263">
        <f>C37*D35</f>
        <v>236937.55599999998</v>
      </c>
      <c r="E37" s="264">
        <f>Компл!K46</f>
        <v>2121.0223599999999</v>
      </c>
      <c r="F37" s="263">
        <f>E37*F35</f>
        <v>21210223.599999998</v>
      </c>
      <c r="G37" s="262">
        <f>Компл!N46</f>
        <v>2081.4571599999995</v>
      </c>
      <c r="H37" s="263">
        <f>G37*H35</f>
        <v>208145715.99999994</v>
      </c>
    </row>
    <row r="38" spans="1:8">
      <c r="A38" s="43"/>
      <c r="B38" s="45"/>
      <c r="C38" s="262">
        <v>24</v>
      </c>
      <c r="D38" s="263" t="e">
        <f t="shared" ref="D38:D39" si="0">C38*D36</f>
        <v>#VALUE!</v>
      </c>
      <c r="E38" s="262">
        <v>24</v>
      </c>
      <c r="F38" s="263">
        <f>20600+200*F35</f>
        <v>2020600</v>
      </c>
      <c r="G38" s="262">
        <v>24</v>
      </c>
      <c r="H38" s="263">
        <f>20600+120*H35</f>
        <v>12020600</v>
      </c>
    </row>
    <row r="39" spans="1:8">
      <c r="A39" s="43"/>
      <c r="B39" s="45"/>
      <c r="C39" s="262">
        <v>174</v>
      </c>
      <c r="D39" s="263">
        <f t="shared" si="0"/>
        <v>41227134.743999995</v>
      </c>
      <c r="E39" s="262"/>
      <c r="F39" s="263"/>
      <c r="G39" s="262"/>
      <c r="H39" s="263"/>
    </row>
    <row r="40" spans="1:8">
      <c r="A40" s="43"/>
      <c r="B40" s="45"/>
      <c r="C40" s="263"/>
      <c r="D40" s="263"/>
      <c r="E40" s="263"/>
      <c r="F40" s="263"/>
      <c r="G40" s="263"/>
      <c r="H40" s="263"/>
    </row>
    <row r="41" spans="1:8">
      <c r="A41" s="43"/>
      <c r="B41" s="45" t="s">
        <v>323</v>
      </c>
      <c r="C41" s="262">
        <v>1900</v>
      </c>
      <c r="D41" s="263">
        <f>C41*D35</f>
        <v>190000</v>
      </c>
      <c r="E41" s="262">
        <v>150</v>
      </c>
      <c r="F41" s="263">
        <f>E41*F35</f>
        <v>1500000</v>
      </c>
      <c r="G41" s="262">
        <v>150</v>
      </c>
      <c r="H41" s="263">
        <f>G41*H35</f>
        <v>15000000</v>
      </c>
    </row>
    <row r="42" spans="1:8">
      <c r="A42" s="43"/>
      <c r="B42" s="45"/>
      <c r="C42" s="262">
        <v>990</v>
      </c>
      <c r="D42" s="263"/>
      <c r="E42" s="263"/>
      <c r="F42" s="263"/>
      <c r="G42" s="263"/>
      <c r="H42" s="263"/>
    </row>
    <row r="43" spans="1:8">
      <c r="A43" s="43"/>
      <c r="B43" s="45" t="s">
        <v>324</v>
      </c>
      <c r="C43" s="262">
        <v>300</v>
      </c>
      <c r="D43" s="263">
        <f>C43*D35</f>
        <v>30000</v>
      </c>
      <c r="E43" s="262">
        <v>140</v>
      </c>
      <c r="F43" s="263">
        <f>E43*F35</f>
        <v>1400000</v>
      </c>
      <c r="G43" s="262">
        <v>140</v>
      </c>
      <c r="H43" s="263">
        <f>G43*H35</f>
        <v>14000000</v>
      </c>
    </row>
    <row r="44" spans="1:8">
      <c r="A44" s="43"/>
      <c r="B44" s="45" t="s">
        <v>325</v>
      </c>
      <c r="C44" s="262">
        <v>65</v>
      </c>
      <c r="D44" s="263">
        <f>C44*D35</f>
        <v>6500</v>
      </c>
      <c r="E44" s="262">
        <v>35</v>
      </c>
      <c r="F44" s="263">
        <f>E44*F35</f>
        <v>350000</v>
      </c>
      <c r="G44" s="262">
        <v>35</v>
      </c>
      <c r="H44" s="263">
        <f>G44*H35</f>
        <v>3500000</v>
      </c>
    </row>
    <row r="45" spans="1:8">
      <c r="A45" s="43"/>
      <c r="B45" s="45"/>
      <c r="C45" s="263"/>
      <c r="D45" s="263"/>
      <c r="E45" s="263"/>
      <c r="F45" s="263"/>
      <c r="G45" s="263"/>
      <c r="H45" s="263"/>
    </row>
    <row r="46" spans="1:8">
      <c r="A46" s="43"/>
      <c r="B46" s="45" t="s">
        <v>326</v>
      </c>
      <c r="C46" s="263" t="e">
        <f>D46/D35</f>
        <v>#VALUE!</v>
      </c>
      <c r="D46" s="264" t="e">
        <f>SUM(D37:D44)/100*20</f>
        <v>#VALUE!</v>
      </c>
      <c r="E46" s="263">
        <f>F46/F35</f>
        <v>264.80823599999997</v>
      </c>
      <c r="F46" s="264">
        <f>SUM(F37:F44)/100*10</f>
        <v>2648082.36</v>
      </c>
      <c r="G46" s="263">
        <f>H46/H35</f>
        <v>252.66631599999994</v>
      </c>
      <c r="H46" s="264">
        <f>SUM(H37:H44)/100*10</f>
        <v>25266631.599999994</v>
      </c>
    </row>
    <row r="47" spans="1:8">
      <c r="A47" s="326"/>
      <c r="B47" s="238"/>
      <c r="C47" s="3"/>
      <c r="D47" s="3"/>
      <c r="E47" s="3"/>
      <c r="F47" s="3"/>
      <c r="G47" s="265"/>
      <c r="H47" s="3"/>
    </row>
    <row r="48" spans="1:8">
      <c r="A48" s="288" t="s">
        <v>331</v>
      </c>
      <c r="B48" s="289"/>
      <c r="C48" s="267" t="e">
        <f>SUM(C37:C47)</f>
        <v>#VALUE!</v>
      </c>
      <c r="D48" s="267" t="e">
        <f t="shared" ref="D48:H48" si="1">SUM(D37:D47)</f>
        <v>#VALUE!</v>
      </c>
      <c r="E48" s="267">
        <f t="shared" si="1"/>
        <v>2734.8305959999998</v>
      </c>
      <c r="F48" s="267">
        <f t="shared" si="1"/>
        <v>29128905.959999997</v>
      </c>
      <c r="G48" s="267">
        <f t="shared" si="1"/>
        <v>2683.1234759999993</v>
      </c>
      <c r="H48" s="267">
        <f t="shared" si="1"/>
        <v>277932947.5999999</v>
      </c>
    </row>
  </sheetData>
  <mergeCells count="6">
    <mergeCell ref="A48:B48"/>
    <mergeCell ref="B4:B5"/>
    <mergeCell ref="A4:A5"/>
    <mergeCell ref="A19:B19"/>
    <mergeCell ref="A35:A36"/>
    <mergeCell ref="B35:B36"/>
  </mergeCells>
  <pageMargins left="0.7" right="0.7" top="0.75" bottom="0.75" header="0.3" footer="0.3"/>
  <ignoredErrors>
    <ignoredError sqref="G11 E37 E1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4589F-C9DC-DD42-88D3-3FBEBED80D93}">
  <sheetPr>
    <tabColor theme="9" tint="-0.249977111117893"/>
  </sheetPr>
  <dimension ref="A1:N65"/>
  <sheetViews>
    <sheetView zoomScale="96" zoomScaleNormal="96" workbookViewId="0">
      <selection activeCell="Q36" sqref="Q36"/>
    </sheetView>
  </sheetViews>
  <sheetFormatPr baseColWidth="10" defaultRowHeight="14"/>
  <cols>
    <col min="1" max="1" width="42.6640625" style="56" customWidth="1"/>
    <col min="2" max="13" width="7.6640625" style="56" customWidth="1"/>
    <col min="14" max="14" width="12" style="56" customWidth="1"/>
    <col min="15" max="16384" width="10.83203125" style="56"/>
  </cols>
  <sheetData>
    <row r="1" spans="1:14">
      <c r="A1" s="56" t="s">
        <v>70</v>
      </c>
    </row>
    <row r="3" spans="1:14" ht="70" customHeight="1">
      <c r="A3" s="62" t="s">
        <v>74</v>
      </c>
      <c r="B3" s="285" t="s">
        <v>482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</row>
    <row r="4" spans="1:14">
      <c r="B4" s="56" t="s">
        <v>75</v>
      </c>
    </row>
    <row r="5" spans="1:14">
      <c r="A5" s="286" t="s">
        <v>57</v>
      </c>
      <c r="B5" s="287">
        <f>'Total услуга'!D3</f>
        <v>1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</row>
    <row r="6" spans="1:14">
      <c r="A6" s="286"/>
      <c r="B6" s="287" t="s">
        <v>52</v>
      </c>
      <c r="C6" s="287"/>
      <c r="D6" s="287"/>
      <c r="E6" s="287" t="s">
        <v>52</v>
      </c>
      <c r="F6" s="287"/>
      <c r="G6" s="287"/>
      <c r="H6" s="287" t="s">
        <v>52</v>
      </c>
      <c r="I6" s="287"/>
      <c r="J6" s="287"/>
      <c r="K6" s="287" t="s">
        <v>52</v>
      </c>
      <c r="L6" s="287"/>
      <c r="M6" s="287"/>
      <c r="N6" s="287" t="s">
        <v>77</v>
      </c>
    </row>
    <row r="7" spans="1:14">
      <c r="A7" s="286"/>
      <c r="B7" s="64">
        <v>1</v>
      </c>
      <c r="C7" s="64">
        <v>2</v>
      </c>
      <c r="D7" s="64">
        <v>3</v>
      </c>
      <c r="E7" s="64">
        <v>4</v>
      </c>
      <c r="F7" s="64">
        <v>5</v>
      </c>
      <c r="G7" s="64">
        <v>6</v>
      </c>
      <c r="H7" s="64">
        <v>7</v>
      </c>
      <c r="I7" s="64">
        <v>8</v>
      </c>
      <c r="J7" s="64">
        <v>9</v>
      </c>
      <c r="K7" s="64">
        <v>10</v>
      </c>
      <c r="L7" s="64">
        <v>11</v>
      </c>
      <c r="M7" s="64">
        <v>12</v>
      </c>
      <c r="N7" s="287"/>
    </row>
    <row r="8" spans="1:14">
      <c r="A8" s="65" t="str">
        <f>'Кадры, ставки ЗП'!A4</f>
        <v>CEO Генеральный директор</v>
      </c>
      <c r="B8" s="66">
        <v>1</v>
      </c>
      <c r="C8" s="66">
        <v>1</v>
      </c>
      <c r="D8" s="66">
        <v>1</v>
      </c>
      <c r="E8" s="66">
        <v>1</v>
      </c>
      <c r="F8" s="66">
        <v>1</v>
      </c>
      <c r="G8" s="66">
        <v>1</v>
      </c>
      <c r="H8" s="66">
        <v>1</v>
      </c>
      <c r="I8" s="66">
        <v>1</v>
      </c>
      <c r="J8" s="66">
        <v>1</v>
      </c>
      <c r="K8" s="66">
        <v>1</v>
      </c>
      <c r="L8" s="66">
        <v>1</v>
      </c>
      <c r="M8" s="66">
        <v>1</v>
      </c>
      <c r="N8" s="68">
        <f>SUM(B8:M8)/12</f>
        <v>1</v>
      </c>
    </row>
    <row r="9" spans="1:14">
      <c r="A9" s="65" t="str">
        <f>'Кадры, ставки ЗП'!A6</f>
        <v>Начальник производства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8">
        <f>SUM(B9:M9)/12</f>
        <v>0</v>
      </c>
    </row>
    <row r="10" spans="1:14">
      <c r="A10" s="65" t="str">
        <f>'Кадры, ставки ЗП'!A7</f>
        <v>Инженер-сборщик (производство)</v>
      </c>
      <c r="B10" s="66"/>
      <c r="C10" s="66"/>
      <c r="D10" s="66"/>
      <c r="E10" s="66"/>
      <c r="F10" s="66"/>
      <c r="G10" s="66"/>
      <c r="H10" s="66">
        <v>5</v>
      </c>
      <c r="I10" s="66">
        <v>5</v>
      </c>
      <c r="J10" s="66">
        <v>5</v>
      </c>
      <c r="K10" s="66">
        <v>5</v>
      </c>
      <c r="L10" s="66">
        <v>5</v>
      </c>
      <c r="M10" s="66">
        <v>5</v>
      </c>
      <c r="N10" s="68">
        <f t="shared" ref="N10:N14" si="0">SUM(B10:M10)/12</f>
        <v>2.5</v>
      </c>
    </row>
    <row r="11" spans="1:14">
      <c r="A11" s="65" t="str">
        <f>'Кадры, ставки ЗП'!A8</f>
        <v>Инженер-разработчик (R&amp;D)</v>
      </c>
      <c r="B11" s="66">
        <v>1.5</v>
      </c>
      <c r="C11" s="66">
        <v>1.5</v>
      </c>
      <c r="D11" s="66">
        <v>1.5</v>
      </c>
      <c r="E11" s="66">
        <v>1.5</v>
      </c>
      <c r="F11" s="66">
        <v>1.5</v>
      </c>
      <c r="G11" s="66">
        <v>1.5</v>
      </c>
      <c r="H11" s="66">
        <v>2</v>
      </c>
      <c r="I11" s="66">
        <v>2</v>
      </c>
      <c r="J11" s="66">
        <v>2</v>
      </c>
      <c r="K11" s="66">
        <v>2</v>
      </c>
      <c r="L11" s="66">
        <v>2</v>
      </c>
      <c r="M11" s="66">
        <v>2</v>
      </c>
      <c r="N11" s="68">
        <f t="shared" si="0"/>
        <v>1.75</v>
      </c>
    </row>
    <row r="12" spans="1:14">
      <c r="A12" s="65" t="str">
        <f>'Кадры, ставки ЗП'!A12</f>
        <v>PR-менеджер</v>
      </c>
      <c r="B12" s="66"/>
      <c r="C12" s="66"/>
      <c r="D12" s="66"/>
      <c r="E12" s="66"/>
      <c r="F12" s="66"/>
      <c r="G12" s="66"/>
      <c r="H12" s="66">
        <v>1</v>
      </c>
      <c r="I12" s="66">
        <v>1</v>
      </c>
      <c r="J12" s="66">
        <v>1</v>
      </c>
      <c r="K12" s="66">
        <v>1</v>
      </c>
      <c r="L12" s="66">
        <v>1</v>
      </c>
      <c r="M12" s="66">
        <v>1</v>
      </c>
      <c r="N12" s="68">
        <f t="shared" si="0"/>
        <v>0.5</v>
      </c>
    </row>
    <row r="13" spans="1:14">
      <c r="A13" s="65" t="str">
        <f>'Кадры, ставки ЗП'!A14</f>
        <v>Менеджер (отдел продаж)</v>
      </c>
      <c r="B13" s="66"/>
      <c r="C13" s="66"/>
      <c r="D13" s="66"/>
      <c r="E13" s="66"/>
      <c r="F13" s="66"/>
      <c r="G13" s="66"/>
      <c r="H13" s="66">
        <v>2</v>
      </c>
      <c r="I13" s="66">
        <v>2</v>
      </c>
      <c r="J13" s="66">
        <v>2</v>
      </c>
      <c r="K13" s="66">
        <v>2</v>
      </c>
      <c r="L13" s="66">
        <v>2</v>
      </c>
      <c r="M13" s="66">
        <v>2</v>
      </c>
      <c r="N13" s="68">
        <f t="shared" si="0"/>
        <v>1</v>
      </c>
    </row>
    <row r="14" spans="1:14" ht="15">
      <c r="A14" s="67" t="str">
        <f>'Кадры, ставки ЗП'!A15</f>
        <v>Вспомогательный персонал</v>
      </c>
      <c r="B14" s="66"/>
      <c r="C14" s="66"/>
      <c r="D14" s="66"/>
      <c r="E14" s="66"/>
      <c r="F14" s="66"/>
      <c r="G14" s="66"/>
      <c r="H14" s="66">
        <v>1</v>
      </c>
      <c r="I14" s="66">
        <v>1</v>
      </c>
      <c r="J14" s="66">
        <v>1</v>
      </c>
      <c r="K14" s="66">
        <v>1</v>
      </c>
      <c r="L14" s="66">
        <v>1</v>
      </c>
      <c r="M14" s="66">
        <v>1</v>
      </c>
      <c r="N14" s="68">
        <f t="shared" si="0"/>
        <v>0.5</v>
      </c>
    </row>
    <row r="15" spans="1:14">
      <c r="A15" s="60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9"/>
    </row>
    <row r="16" spans="1:14">
      <c r="A16" s="60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9"/>
    </row>
    <row r="17" spans="1:14" ht="15">
      <c r="A17" s="57" t="s">
        <v>72</v>
      </c>
      <c r="B17" s="59">
        <f>SUM(B8:B16)</f>
        <v>2.5</v>
      </c>
      <c r="C17" s="59">
        <f t="shared" ref="C17:M17" si="1">SUM(C8:C16)</f>
        <v>2.5</v>
      </c>
      <c r="D17" s="59">
        <f t="shared" si="1"/>
        <v>2.5</v>
      </c>
      <c r="E17" s="59">
        <f t="shared" si="1"/>
        <v>2.5</v>
      </c>
      <c r="F17" s="59">
        <f t="shared" si="1"/>
        <v>2.5</v>
      </c>
      <c r="G17" s="59">
        <f t="shared" si="1"/>
        <v>2.5</v>
      </c>
      <c r="H17" s="59">
        <f t="shared" si="1"/>
        <v>12</v>
      </c>
      <c r="I17" s="59">
        <f t="shared" si="1"/>
        <v>12</v>
      </c>
      <c r="J17" s="59">
        <f t="shared" si="1"/>
        <v>12</v>
      </c>
      <c r="K17" s="59">
        <f t="shared" si="1"/>
        <v>12</v>
      </c>
      <c r="L17" s="59">
        <f t="shared" si="1"/>
        <v>12</v>
      </c>
      <c r="M17" s="59">
        <f t="shared" si="1"/>
        <v>12</v>
      </c>
      <c r="N17" s="69">
        <f t="shared" ref="N17:N21" si="2">SUM(B17:M17)/12</f>
        <v>7.25</v>
      </c>
    </row>
    <row r="18" spans="1:14" ht="15">
      <c r="A18" s="57" t="s">
        <v>58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9"/>
    </row>
    <row r="19" spans="1:14" ht="15">
      <c r="A19" s="57" t="s">
        <v>59</v>
      </c>
      <c r="B19" s="59">
        <f>B17</f>
        <v>2.5</v>
      </c>
      <c r="C19" s="59">
        <f t="shared" ref="C19:M19" si="3">C17</f>
        <v>2.5</v>
      </c>
      <c r="D19" s="59">
        <f t="shared" si="3"/>
        <v>2.5</v>
      </c>
      <c r="E19" s="59">
        <f t="shared" si="3"/>
        <v>2.5</v>
      </c>
      <c r="F19" s="59">
        <f t="shared" si="3"/>
        <v>2.5</v>
      </c>
      <c r="G19" s="59">
        <f t="shared" si="3"/>
        <v>2.5</v>
      </c>
      <c r="H19" s="59">
        <f t="shared" si="3"/>
        <v>12</v>
      </c>
      <c r="I19" s="59">
        <f t="shared" si="3"/>
        <v>12</v>
      </c>
      <c r="J19" s="59">
        <f t="shared" si="3"/>
        <v>12</v>
      </c>
      <c r="K19" s="59">
        <f t="shared" si="3"/>
        <v>12</v>
      </c>
      <c r="L19" s="59">
        <f t="shared" si="3"/>
        <v>12</v>
      </c>
      <c r="M19" s="59">
        <f t="shared" si="3"/>
        <v>12</v>
      </c>
      <c r="N19" s="69">
        <f t="shared" si="2"/>
        <v>7.25</v>
      </c>
    </row>
    <row r="20" spans="1:14" ht="15">
      <c r="A20" s="57" t="s">
        <v>60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9"/>
    </row>
    <row r="21" spans="1:14" ht="15">
      <c r="A21" s="57" t="s">
        <v>61</v>
      </c>
      <c r="B21" s="59">
        <f>B22/SUM(B8:B16)</f>
        <v>48000</v>
      </c>
      <c r="C21" s="59">
        <f t="shared" ref="C21:M21" si="4">C22/SUM(C8:C16)</f>
        <v>48000</v>
      </c>
      <c r="D21" s="59">
        <f t="shared" si="4"/>
        <v>48000</v>
      </c>
      <c r="E21" s="59">
        <f t="shared" si="4"/>
        <v>48000</v>
      </c>
      <c r="F21" s="59">
        <f t="shared" si="4"/>
        <v>48000</v>
      </c>
      <c r="G21" s="59">
        <f t="shared" si="4"/>
        <v>48000</v>
      </c>
      <c r="H21" s="59">
        <f t="shared" si="4"/>
        <v>34166.666666666664</v>
      </c>
      <c r="I21" s="59">
        <f t="shared" si="4"/>
        <v>34166.666666666664</v>
      </c>
      <c r="J21" s="59">
        <f t="shared" si="4"/>
        <v>34166.666666666664</v>
      </c>
      <c r="K21" s="59">
        <f t="shared" si="4"/>
        <v>34166.666666666664</v>
      </c>
      <c r="L21" s="59">
        <f t="shared" si="4"/>
        <v>34166.666666666664</v>
      </c>
      <c r="M21" s="59">
        <f t="shared" si="4"/>
        <v>34166.666666666664</v>
      </c>
      <c r="N21" s="69">
        <f t="shared" si="2"/>
        <v>41083.333333333343</v>
      </c>
    </row>
    <row r="22" spans="1:14" ht="15">
      <c r="A22" s="57" t="s">
        <v>62</v>
      </c>
      <c r="B22" s="59">
        <f>B8*'Кадры, ставки ЗП'!B4+B9*'Кадры, ставки ЗП'!B6+КПпроизв!B10*'Кадры, ставки ЗП'!B7+КПпроизв!B11*'Кадры, ставки ЗП'!B8+КПпроизв!B12*'Кадры, ставки ЗП'!B12+B13*'Кадры, ставки ЗП'!B14+B14*'Кадры, ставки ЗП'!B15</f>
        <v>120000</v>
      </c>
      <c r="C22" s="59">
        <f>C8*'Кадры, ставки ЗП'!C4+C9*'Кадры, ставки ЗП'!C6+КПпроизв!C10*'Кадры, ставки ЗП'!C7+КПпроизв!C11*'Кадры, ставки ЗП'!C8+КПпроизв!C12*'Кадры, ставки ЗП'!C12+C13*'Кадры, ставки ЗП'!C14+C14*'Кадры, ставки ЗП'!C15</f>
        <v>120000</v>
      </c>
      <c r="D22" s="59">
        <f>D8*'Кадры, ставки ЗП'!D4+D9*'Кадры, ставки ЗП'!D6+КПпроизв!D10*'Кадры, ставки ЗП'!D7+КПпроизв!D11*'Кадры, ставки ЗП'!D8+КПпроизв!D12*'Кадры, ставки ЗП'!D12+D13*'Кадры, ставки ЗП'!D14+D14*'Кадры, ставки ЗП'!D15</f>
        <v>120000</v>
      </c>
      <c r="E22" s="59">
        <f>E8*'Кадры, ставки ЗП'!E4+E9*'Кадры, ставки ЗП'!E6+КПпроизв!E10*'Кадры, ставки ЗП'!E7+КПпроизв!E11*'Кадры, ставки ЗП'!E8+КПпроизв!E12*'Кадры, ставки ЗП'!E12+E13*'Кадры, ставки ЗП'!E14+E14*'Кадры, ставки ЗП'!E15</f>
        <v>120000</v>
      </c>
      <c r="F22" s="59">
        <f>F8*'Кадры, ставки ЗП'!F4+F9*'Кадры, ставки ЗП'!F6+КПпроизв!F10*'Кадры, ставки ЗП'!F7+КПпроизв!F11*'Кадры, ставки ЗП'!F8+КПпроизв!F12*'Кадры, ставки ЗП'!F12+F13*'Кадры, ставки ЗП'!F14+F14*'Кадры, ставки ЗП'!F15</f>
        <v>120000</v>
      </c>
      <c r="G22" s="59">
        <f>G8*'Кадры, ставки ЗП'!G4+G9*'Кадры, ставки ЗП'!G6+КПпроизв!G10*'Кадры, ставки ЗП'!G7+КПпроизв!G11*'Кадры, ставки ЗП'!G8+КПпроизв!G12*'Кадры, ставки ЗП'!G12+G13*'Кадры, ставки ЗП'!G14+G14*'Кадры, ставки ЗП'!G15</f>
        <v>120000</v>
      </c>
      <c r="H22" s="59">
        <f>H8*'Кадры, ставки ЗП'!H4+H9*'Кадры, ставки ЗП'!H6+КПпроизв!H10*'Кадры, ставки ЗП'!H7+КПпроизв!H11*'Кадры, ставки ЗП'!H8+КПпроизв!H12*'Кадры, ставки ЗП'!H12+H13*'Кадры, ставки ЗП'!H14+H14*'Кадры, ставки ЗП'!H15</f>
        <v>410000</v>
      </c>
      <c r="I22" s="59">
        <f>I8*'Кадры, ставки ЗП'!I4+I9*'Кадры, ставки ЗП'!I6+КПпроизв!I10*'Кадры, ставки ЗП'!I7+КПпроизв!I11*'Кадры, ставки ЗП'!I8+КПпроизв!I12*'Кадры, ставки ЗП'!I12+I13*'Кадры, ставки ЗП'!I14+I14*'Кадры, ставки ЗП'!I15</f>
        <v>410000</v>
      </c>
      <c r="J22" s="59">
        <f>J8*'Кадры, ставки ЗП'!J4+J9*'Кадры, ставки ЗП'!J6+КПпроизв!J10*'Кадры, ставки ЗП'!J7+КПпроизв!J11*'Кадры, ставки ЗП'!J8+КПпроизв!J12*'Кадры, ставки ЗП'!J12+J13*'Кадры, ставки ЗП'!J14+J14*'Кадры, ставки ЗП'!J15</f>
        <v>410000</v>
      </c>
      <c r="K22" s="59">
        <f>K8*'Кадры, ставки ЗП'!K4+K9*'Кадры, ставки ЗП'!K6+КПпроизв!K10*'Кадры, ставки ЗП'!K7+КПпроизв!K11*'Кадры, ставки ЗП'!K8+КПпроизв!K12*'Кадры, ставки ЗП'!K12+K13*'Кадры, ставки ЗП'!K14+K14*'Кадры, ставки ЗП'!K15</f>
        <v>410000</v>
      </c>
      <c r="L22" s="59">
        <f>L8*'Кадры, ставки ЗП'!L4+L9*'Кадры, ставки ЗП'!L6+КПпроизв!L10*'Кадры, ставки ЗП'!L7+КПпроизв!L11*'Кадры, ставки ЗП'!L8+КПпроизв!L12*'Кадры, ставки ЗП'!L12+L13*'Кадры, ставки ЗП'!L14+L14*'Кадры, ставки ЗП'!L15</f>
        <v>410000</v>
      </c>
      <c r="M22" s="59">
        <f>M8*'Кадры, ставки ЗП'!M4+M9*'Кадры, ставки ЗП'!M6+КПпроизв!M10*'Кадры, ставки ЗП'!M7+КПпроизв!M11*'Кадры, ставки ЗП'!M8+КПпроизв!M12*'Кадры, ставки ЗП'!M12+M13*'Кадры, ставки ЗП'!M14+M14*'Кадры, ставки ЗП'!M15</f>
        <v>410000</v>
      </c>
      <c r="N22" s="69">
        <f>SUM(B22:M22)</f>
        <v>3180000</v>
      </c>
    </row>
    <row r="23" spans="1:14" ht="15">
      <c r="A23" s="57" t="s">
        <v>63</v>
      </c>
      <c r="B23" s="61">
        <f>B22/100*30.2</f>
        <v>36240</v>
      </c>
      <c r="C23" s="61">
        <f t="shared" ref="C23:M23" si="5">C22/100*30.2</f>
        <v>36240</v>
      </c>
      <c r="D23" s="61">
        <f t="shared" si="5"/>
        <v>36240</v>
      </c>
      <c r="E23" s="61">
        <f t="shared" si="5"/>
        <v>36240</v>
      </c>
      <c r="F23" s="61">
        <f t="shared" si="5"/>
        <v>36240</v>
      </c>
      <c r="G23" s="61">
        <f t="shared" si="5"/>
        <v>36240</v>
      </c>
      <c r="H23" s="61">
        <f t="shared" si="5"/>
        <v>123820</v>
      </c>
      <c r="I23" s="61">
        <f t="shared" si="5"/>
        <v>123820</v>
      </c>
      <c r="J23" s="61">
        <f t="shared" si="5"/>
        <v>123820</v>
      </c>
      <c r="K23" s="61">
        <f t="shared" si="5"/>
        <v>123820</v>
      </c>
      <c r="L23" s="61">
        <f t="shared" si="5"/>
        <v>123820</v>
      </c>
      <c r="M23" s="61">
        <f t="shared" si="5"/>
        <v>123820</v>
      </c>
      <c r="N23" s="69">
        <f>SUM(B23:M23)</f>
        <v>960360</v>
      </c>
    </row>
    <row r="26" spans="1:14">
      <c r="A26" s="283" t="s">
        <v>57</v>
      </c>
      <c r="B26" s="284">
        <f>B5+1</f>
        <v>2</v>
      </c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</row>
    <row r="27" spans="1:14">
      <c r="A27" s="283"/>
      <c r="B27" s="284" t="s">
        <v>52</v>
      </c>
      <c r="C27" s="284"/>
      <c r="D27" s="284"/>
      <c r="E27" s="284" t="s">
        <v>52</v>
      </c>
      <c r="F27" s="284"/>
      <c r="G27" s="284"/>
      <c r="H27" s="284" t="s">
        <v>52</v>
      </c>
      <c r="I27" s="284"/>
      <c r="J27" s="284"/>
      <c r="K27" s="284" t="s">
        <v>52</v>
      </c>
      <c r="L27" s="284"/>
      <c r="M27" s="284"/>
      <c r="N27" s="284" t="s">
        <v>53</v>
      </c>
    </row>
    <row r="28" spans="1:14">
      <c r="A28" s="283"/>
      <c r="B28" s="70">
        <v>1</v>
      </c>
      <c r="C28" s="70">
        <v>2</v>
      </c>
      <c r="D28" s="70">
        <v>3</v>
      </c>
      <c r="E28" s="70">
        <v>4</v>
      </c>
      <c r="F28" s="70">
        <v>5</v>
      </c>
      <c r="G28" s="70">
        <v>6</v>
      </c>
      <c r="H28" s="70">
        <v>7</v>
      </c>
      <c r="I28" s="70">
        <v>8</v>
      </c>
      <c r="J28" s="70">
        <v>9</v>
      </c>
      <c r="K28" s="70">
        <v>10</v>
      </c>
      <c r="L28" s="70">
        <v>11</v>
      </c>
      <c r="M28" s="70">
        <v>12</v>
      </c>
      <c r="N28" s="284"/>
    </row>
    <row r="29" spans="1:14" ht="15">
      <c r="A29" s="74" t="str">
        <f>'Кадры, ставки ЗП'!A4</f>
        <v>CEO Генеральный директор</v>
      </c>
      <c r="B29" s="75">
        <v>1</v>
      </c>
      <c r="C29" s="75">
        <v>1</v>
      </c>
      <c r="D29" s="75">
        <v>1</v>
      </c>
      <c r="E29" s="75">
        <v>1</v>
      </c>
      <c r="F29" s="75">
        <v>1</v>
      </c>
      <c r="G29" s="75">
        <v>1</v>
      </c>
      <c r="H29" s="75">
        <v>1</v>
      </c>
      <c r="I29" s="75">
        <v>1</v>
      </c>
      <c r="J29" s="75">
        <v>1</v>
      </c>
      <c r="K29" s="75">
        <v>1</v>
      </c>
      <c r="L29" s="75">
        <v>1</v>
      </c>
      <c r="M29" s="75">
        <v>1</v>
      </c>
      <c r="N29" s="68">
        <f>SUM(B29:M29)/12</f>
        <v>1</v>
      </c>
    </row>
    <row r="30" spans="1:14">
      <c r="A30" s="65" t="str">
        <f>'Кадры, ставки ЗП'!A6</f>
        <v>Начальник производства</v>
      </c>
      <c r="B30" s="75">
        <v>1</v>
      </c>
      <c r="C30" s="75">
        <v>1</v>
      </c>
      <c r="D30" s="75">
        <v>1</v>
      </c>
      <c r="E30" s="75">
        <v>1</v>
      </c>
      <c r="F30" s="75">
        <v>1</v>
      </c>
      <c r="G30" s="75">
        <v>1</v>
      </c>
      <c r="H30" s="75">
        <v>1</v>
      </c>
      <c r="I30" s="75">
        <v>1</v>
      </c>
      <c r="J30" s="75">
        <v>1</v>
      </c>
      <c r="K30" s="75">
        <v>1</v>
      </c>
      <c r="L30" s="75">
        <v>1</v>
      </c>
      <c r="M30" s="75">
        <v>1</v>
      </c>
      <c r="N30" s="68">
        <f>SUM(B30:M30)/12</f>
        <v>1</v>
      </c>
    </row>
    <row r="31" spans="1:14" ht="15">
      <c r="A31" s="74" t="str">
        <f>'Кадры, ставки ЗП'!A7</f>
        <v>Инженер-сборщик (производство)</v>
      </c>
      <c r="B31" s="75">
        <v>5</v>
      </c>
      <c r="C31" s="75">
        <v>5</v>
      </c>
      <c r="D31" s="75">
        <v>5</v>
      </c>
      <c r="E31" s="75">
        <v>5</v>
      </c>
      <c r="F31" s="75">
        <v>5</v>
      </c>
      <c r="G31" s="75">
        <v>5</v>
      </c>
      <c r="H31" s="75">
        <v>5</v>
      </c>
      <c r="I31" s="75">
        <v>5</v>
      </c>
      <c r="J31" s="75">
        <v>5</v>
      </c>
      <c r="K31" s="75">
        <v>5</v>
      </c>
      <c r="L31" s="75">
        <v>5</v>
      </c>
      <c r="M31" s="75">
        <v>5</v>
      </c>
      <c r="N31" s="68">
        <f t="shared" ref="N31:N35" si="6">SUM(B31:M31)/12</f>
        <v>5</v>
      </c>
    </row>
    <row r="32" spans="1:14" ht="15">
      <c r="A32" s="74" t="str">
        <f>'Кадры, ставки ЗП'!A8</f>
        <v>Инженер-разработчик (R&amp;D)</v>
      </c>
      <c r="B32" s="75">
        <v>2</v>
      </c>
      <c r="C32" s="75">
        <v>2</v>
      </c>
      <c r="D32" s="75">
        <v>2</v>
      </c>
      <c r="E32" s="75">
        <v>2</v>
      </c>
      <c r="F32" s="75">
        <v>2</v>
      </c>
      <c r="G32" s="75">
        <v>2</v>
      </c>
      <c r="H32" s="75">
        <v>2</v>
      </c>
      <c r="I32" s="75">
        <v>2</v>
      </c>
      <c r="J32" s="75">
        <v>2</v>
      </c>
      <c r="K32" s="75">
        <v>2</v>
      </c>
      <c r="L32" s="75">
        <v>2</v>
      </c>
      <c r="M32" s="75">
        <v>2</v>
      </c>
      <c r="N32" s="68">
        <f t="shared" si="6"/>
        <v>2</v>
      </c>
    </row>
    <row r="33" spans="1:14" ht="15">
      <c r="A33" s="74" t="str">
        <f>'Кадры, ставки ЗП'!A12</f>
        <v>PR-менеджер</v>
      </c>
      <c r="B33" s="75">
        <v>1</v>
      </c>
      <c r="C33" s="75">
        <v>1</v>
      </c>
      <c r="D33" s="75">
        <v>1</v>
      </c>
      <c r="E33" s="75">
        <v>1</v>
      </c>
      <c r="F33" s="75">
        <v>1</v>
      </c>
      <c r="G33" s="75">
        <v>1</v>
      </c>
      <c r="H33" s="75">
        <v>1</v>
      </c>
      <c r="I33" s="75">
        <v>1</v>
      </c>
      <c r="J33" s="75">
        <v>1</v>
      </c>
      <c r="K33" s="75">
        <v>1</v>
      </c>
      <c r="L33" s="75">
        <v>1</v>
      </c>
      <c r="M33" s="75">
        <v>1</v>
      </c>
      <c r="N33" s="68">
        <f t="shared" si="6"/>
        <v>1</v>
      </c>
    </row>
    <row r="34" spans="1:14" ht="15">
      <c r="A34" s="74" t="str">
        <f>'Кадры, ставки ЗП'!A14</f>
        <v>Менеджер (отдел продаж)</v>
      </c>
      <c r="B34" s="75">
        <v>3</v>
      </c>
      <c r="C34" s="75">
        <v>3</v>
      </c>
      <c r="D34" s="75">
        <v>3</v>
      </c>
      <c r="E34" s="75">
        <v>3</v>
      </c>
      <c r="F34" s="75">
        <v>3</v>
      </c>
      <c r="G34" s="75">
        <v>3</v>
      </c>
      <c r="H34" s="75">
        <v>3</v>
      </c>
      <c r="I34" s="75">
        <v>3</v>
      </c>
      <c r="J34" s="75">
        <v>3</v>
      </c>
      <c r="K34" s="75">
        <v>3</v>
      </c>
      <c r="L34" s="75">
        <v>3</v>
      </c>
      <c r="M34" s="75">
        <v>3</v>
      </c>
      <c r="N34" s="68">
        <f t="shared" si="6"/>
        <v>3</v>
      </c>
    </row>
    <row r="35" spans="1:14" ht="15">
      <c r="A35" s="74" t="str">
        <f>'Кадры, ставки ЗП'!A15</f>
        <v>Вспомогательный персонал</v>
      </c>
      <c r="B35" s="75">
        <v>2</v>
      </c>
      <c r="C35" s="75">
        <v>2</v>
      </c>
      <c r="D35" s="75">
        <v>2</v>
      </c>
      <c r="E35" s="75">
        <v>2</v>
      </c>
      <c r="F35" s="75">
        <v>2</v>
      </c>
      <c r="G35" s="75">
        <v>2</v>
      </c>
      <c r="H35" s="75">
        <v>2</v>
      </c>
      <c r="I35" s="75">
        <v>2</v>
      </c>
      <c r="J35" s="75">
        <v>2</v>
      </c>
      <c r="K35" s="75">
        <v>2</v>
      </c>
      <c r="L35" s="75">
        <v>2</v>
      </c>
      <c r="M35" s="75">
        <v>2</v>
      </c>
      <c r="N35" s="68">
        <f t="shared" si="6"/>
        <v>2</v>
      </c>
    </row>
    <row r="36" spans="1:14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</row>
    <row r="37" spans="1:14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</row>
    <row r="38" spans="1:14" ht="15">
      <c r="A38" s="57" t="s">
        <v>72</v>
      </c>
      <c r="B38" s="59">
        <f>SUM(B29:B37)</f>
        <v>15</v>
      </c>
      <c r="C38" s="59">
        <f t="shared" ref="C38:M38" si="7">SUM(C29:C37)</f>
        <v>15</v>
      </c>
      <c r="D38" s="59">
        <f t="shared" si="7"/>
        <v>15</v>
      </c>
      <c r="E38" s="59">
        <f t="shared" si="7"/>
        <v>15</v>
      </c>
      <c r="F38" s="59">
        <f t="shared" si="7"/>
        <v>15</v>
      </c>
      <c r="G38" s="59">
        <f t="shared" si="7"/>
        <v>15</v>
      </c>
      <c r="H38" s="59">
        <f t="shared" si="7"/>
        <v>15</v>
      </c>
      <c r="I38" s="59">
        <f t="shared" si="7"/>
        <v>15</v>
      </c>
      <c r="J38" s="59">
        <f t="shared" si="7"/>
        <v>15</v>
      </c>
      <c r="K38" s="59">
        <f t="shared" si="7"/>
        <v>15</v>
      </c>
      <c r="L38" s="59">
        <f t="shared" si="7"/>
        <v>15</v>
      </c>
      <c r="M38" s="59">
        <f t="shared" si="7"/>
        <v>15</v>
      </c>
      <c r="N38" s="69">
        <f t="shared" ref="N38" si="8">SUM(B38:M38)/12</f>
        <v>15</v>
      </c>
    </row>
    <row r="39" spans="1:14" ht="15">
      <c r="A39" s="58" t="s">
        <v>58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1:14" ht="15">
      <c r="A40" s="57" t="s">
        <v>59</v>
      </c>
      <c r="B40" s="59">
        <f>B38</f>
        <v>15</v>
      </c>
      <c r="C40" s="59">
        <f t="shared" ref="C40:M40" si="9">C38</f>
        <v>15</v>
      </c>
      <c r="D40" s="59">
        <f t="shared" si="9"/>
        <v>15</v>
      </c>
      <c r="E40" s="59">
        <f t="shared" si="9"/>
        <v>15</v>
      </c>
      <c r="F40" s="59">
        <f t="shared" si="9"/>
        <v>15</v>
      </c>
      <c r="G40" s="59">
        <f t="shared" si="9"/>
        <v>15</v>
      </c>
      <c r="H40" s="59">
        <f t="shared" si="9"/>
        <v>15</v>
      </c>
      <c r="I40" s="59">
        <f t="shared" si="9"/>
        <v>15</v>
      </c>
      <c r="J40" s="59">
        <f t="shared" si="9"/>
        <v>15</v>
      </c>
      <c r="K40" s="59">
        <f t="shared" si="9"/>
        <v>15</v>
      </c>
      <c r="L40" s="59">
        <f t="shared" si="9"/>
        <v>15</v>
      </c>
      <c r="M40" s="59">
        <f t="shared" si="9"/>
        <v>15</v>
      </c>
      <c r="N40" s="69">
        <f t="shared" ref="N40" si="10">SUM(B40:M40)/12</f>
        <v>15</v>
      </c>
    </row>
    <row r="41" spans="1:14" ht="15">
      <c r="A41" s="57" t="s">
        <v>60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1:14" ht="15">
      <c r="A42" s="57" t="s">
        <v>61</v>
      </c>
      <c r="B42" s="59">
        <f>B43/SUM(B29:B37)</f>
        <v>38000</v>
      </c>
      <c r="C42" s="59">
        <f t="shared" ref="C42:M42" si="11">C43/SUM(C29:C37)</f>
        <v>38000</v>
      </c>
      <c r="D42" s="59">
        <f t="shared" si="11"/>
        <v>38000</v>
      </c>
      <c r="E42" s="59">
        <f t="shared" si="11"/>
        <v>38000</v>
      </c>
      <c r="F42" s="59">
        <f t="shared" si="11"/>
        <v>38000</v>
      </c>
      <c r="G42" s="59">
        <f t="shared" si="11"/>
        <v>38000</v>
      </c>
      <c r="H42" s="59">
        <f t="shared" si="11"/>
        <v>38000</v>
      </c>
      <c r="I42" s="59">
        <f t="shared" si="11"/>
        <v>38000</v>
      </c>
      <c r="J42" s="59">
        <f t="shared" si="11"/>
        <v>38000</v>
      </c>
      <c r="K42" s="59">
        <f t="shared" si="11"/>
        <v>38000</v>
      </c>
      <c r="L42" s="59">
        <f t="shared" si="11"/>
        <v>38000</v>
      </c>
      <c r="M42" s="59">
        <f t="shared" si="11"/>
        <v>38000</v>
      </c>
      <c r="N42" s="69">
        <f t="shared" ref="N42" si="12">SUM(B42:M42)/12</f>
        <v>38000</v>
      </c>
    </row>
    <row r="43" spans="1:14" ht="15">
      <c r="A43" s="57" t="s">
        <v>62</v>
      </c>
      <c r="B43" s="59">
        <f>B29*'Кадры, ставки ЗП'!B4+B30*'Кадры, ставки ЗП'!B6+КПпроизв!B31*'Кадры, ставки ЗП'!B7+КПпроизв!B32*'Кадры, ставки ЗП'!B8+КПпроизв!B33*'Кадры, ставки ЗП'!B12+B34*'Кадры, ставки ЗП'!B14+B35*'Кадры, ставки ЗП'!B15</f>
        <v>570000</v>
      </c>
      <c r="C43" s="59">
        <f>C29*'Кадры, ставки ЗП'!C4+C30*'Кадры, ставки ЗП'!C6+КПпроизв!C31*'Кадры, ставки ЗП'!C7+КПпроизв!C32*'Кадры, ставки ЗП'!C8+КПпроизв!C33*'Кадры, ставки ЗП'!C12+C34*'Кадры, ставки ЗП'!C14+C35*'Кадры, ставки ЗП'!C15</f>
        <v>570000</v>
      </c>
      <c r="D43" s="59">
        <f>D29*'Кадры, ставки ЗП'!D4+D30*'Кадры, ставки ЗП'!D6+КПпроизв!D31*'Кадры, ставки ЗП'!D7+КПпроизв!D32*'Кадры, ставки ЗП'!D8+КПпроизв!D33*'Кадры, ставки ЗП'!D12+D34*'Кадры, ставки ЗП'!D14+D35*'Кадры, ставки ЗП'!D15</f>
        <v>570000</v>
      </c>
      <c r="E43" s="59">
        <f>E29*'Кадры, ставки ЗП'!E4+E30*'Кадры, ставки ЗП'!E6+КПпроизв!E31*'Кадры, ставки ЗП'!E7+КПпроизв!E32*'Кадры, ставки ЗП'!E8+КПпроизв!E33*'Кадры, ставки ЗП'!E12+E34*'Кадры, ставки ЗП'!E14+E35*'Кадры, ставки ЗП'!E15</f>
        <v>570000</v>
      </c>
      <c r="F43" s="59">
        <f>F29*'Кадры, ставки ЗП'!F4+F30*'Кадры, ставки ЗП'!F6+КПпроизв!F31*'Кадры, ставки ЗП'!F7+КПпроизв!F32*'Кадры, ставки ЗП'!F8+КПпроизв!F33*'Кадры, ставки ЗП'!F12+F34*'Кадры, ставки ЗП'!F14+F35*'Кадры, ставки ЗП'!F15</f>
        <v>570000</v>
      </c>
      <c r="G43" s="59">
        <f>G29*'Кадры, ставки ЗП'!G4+G30*'Кадры, ставки ЗП'!G6+КПпроизв!G31*'Кадры, ставки ЗП'!G7+КПпроизв!G32*'Кадры, ставки ЗП'!G8+КПпроизв!G33*'Кадры, ставки ЗП'!G12+G34*'Кадры, ставки ЗП'!G14+G35*'Кадры, ставки ЗП'!G15</f>
        <v>570000</v>
      </c>
      <c r="H43" s="59">
        <f>H29*'Кадры, ставки ЗП'!H4+H30*'Кадры, ставки ЗП'!H6+КПпроизв!H31*'Кадры, ставки ЗП'!H7+КПпроизв!H32*'Кадры, ставки ЗП'!H8+КПпроизв!H33*'Кадры, ставки ЗП'!H12+H34*'Кадры, ставки ЗП'!H14+H35*'Кадры, ставки ЗП'!H15</f>
        <v>570000</v>
      </c>
      <c r="I43" s="59">
        <f>I29*'Кадры, ставки ЗП'!I4+I30*'Кадры, ставки ЗП'!I6+КПпроизв!I31*'Кадры, ставки ЗП'!I7+КПпроизв!I32*'Кадры, ставки ЗП'!I8+КПпроизв!I33*'Кадры, ставки ЗП'!I12+I34*'Кадры, ставки ЗП'!I14+I35*'Кадры, ставки ЗП'!I15</f>
        <v>570000</v>
      </c>
      <c r="J43" s="59">
        <f>J29*'Кадры, ставки ЗП'!J4+J30*'Кадры, ставки ЗП'!J6+КПпроизв!J31*'Кадры, ставки ЗП'!J7+КПпроизв!J32*'Кадры, ставки ЗП'!J8+КПпроизв!J33*'Кадры, ставки ЗП'!J12+J34*'Кадры, ставки ЗП'!J14+J35*'Кадры, ставки ЗП'!J15</f>
        <v>570000</v>
      </c>
      <c r="K43" s="59">
        <f>K29*'Кадры, ставки ЗП'!K4+K30*'Кадры, ставки ЗП'!K6+КПпроизв!K31*'Кадры, ставки ЗП'!K7+КПпроизв!K32*'Кадры, ставки ЗП'!K8+КПпроизв!K33*'Кадры, ставки ЗП'!K12+K34*'Кадры, ставки ЗП'!K14+K35*'Кадры, ставки ЗП'!K15</f>
        <v>570000</v>
      </c>
      <c r="L43" s="59">
        <f>L29*'Кадры, ставки ЗП'!L4+L30*'Кадры, ставки ЗП'!L6+КПпроизв!L31*'Кадры, ставки ЗП'!L7+КПпроизв!L32*'Кадры, ставки ЗП'!L8+КПпроизв!L33*'Кадры, ставки ЗП'!L12+L34*'Кадры, ставки ЗП'!L14+L35*'Кадры, ставки ЗП'!L15</f>
        <v>570000</v>
      </c>
      <c r="M43" s="59">
        <f>M29*'Кадры, ставки ЗП'!M4+M30*'Кадры, ставки ЗП'!M6+КПпроизв!M31*'Кадры, ставки ЗП'!M7+КПпроизв!M32*'Кадры, ставки ЗП'!M8+КПпроизв!M33*'Кадры, ставки ЗП'!M12+M34*'Кадры, ставки ЗП'!M14+M35*'Кадры, ставки ЗП'!M15</f>
        <v>570000</v>
      </c>
      <c r="N43" s="69">
        <f>SUM(B43:M43)</f>
        <v>6840000</v>
      </c>
    </row>
    <row r="44" spans="1:14" ht="15">
      <c r="A44" s="57" t="s">
        <v>63</v>
      </c>
      <c r="B44" s="61">
        <f>B43/100*30.2</f>
        <v>172140</v>
      </c>
      <c r="C44" s="61">
        <f t="shared" ref="C44:D44" si="13">C43/100*30.2</f>
        <v>172140</v>
      </c>
      <c r="D44" s="61">
        <f t="shared" si="13"/>
        <v>172140</v>
      </c>
      <c r="E44" s="61">
        <f>E43/100*30.2</f>
        <v>172140</v>
      </c>
      <c r="F44" s="61">
        <f t="shared" ref="F44:G44" si="14">F43/100*30.2</f>
        <v>172140</v>
      </c>
      <c r="G44" s="61">
        <f t="shared" si="14"/>
        <v>172140</v>
      </c>
      <c r="H44" s="61">
        <f>H43/100*30.2</f>
        <v>172140</v>
      </c>
      <c r="I44" s="61">
        <f t="shared" ref="I44:J44" si="15">I43/100*30.2</f>
        <v>172140</v>
      </c>
      <c r="J44" s="61">
        <f t="shared" si="15"/>
        <v>172140</v>
      </c>
      <c r="K44" s="61">
        <f>K43/100*30.2</f>
        <v>172140</v>
      </c>
      <c r="L44" s="61">
        <f t="shared" ref="L44:M44" si="16">L43/100*30.2</f>
        <v>172140</v>
      </c>
      <c r="M44" s="61">
        <f t="shared" si="16"/>
        <v>172140</v>
      </c>
      <c r="N44" s="69">
        <f>SUM(B44:M44)</f>
        <v>2065680</v>
      </c>
    </row>
    <row r="47" spans="1:14">
      <c r="A47" s="283" t="s">
        <v>57</v>
      </c>
      <c r="B47" s="284">
        <f>B26+1</f>
        <v>3</v>
      </c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</row>
    <row r="48" spans="1:14">
      <c r="A48" s="283"/>
      <c r="B48" s="284" t="s">
        <v>52</v>
      </c>
      <c r="C48" s="284"/>
      <c r="D48" s="284"/>
      <c r="E48" s="284" t="s">
        <v>52</v>
      </c>
      <c r="F48" s="284"/>
      <c r="G48" s="284"/>
      <c r="H48" s="284" t="s">
        <v>52</v>
      </c>
      <c r="I48" s="284"/>
      <c r="J48" s="284"/>
      <c r="K48" s="284" t="s">
        <v>52</v>
      </c>
      <c r="L48" s="284"/>
      <c r="M48" s="284"/>
      <c r="N48" s="284" t="s">
        <v>53</v>
      </c>
    </row>
    <row r="49" spans="1:14">
      <c r="A49" s="283"/>
      <c r="B49" s="70">
        <v>1</v>
      </c>
      <c r="C49" s="70">
        <v>2</v>
      </c>
      <c r="D49" s="70">
        <v>3</v>
      </c>
      <c r="E49" s="70">
        <v>4</v>
      </c>
      <c r="F49" s="70">
        <v>5</v>
      </c>
      <c r="G49" s="70">
        <v>6</v>
      </c>
      <c r="H49" s="70">
        <v>7</v>
      </c>
      <c r="I49" s="70">
        <v>8</v>
      </c>
      <c r="J49" s="70">
        <v>9</v>
      </c>
      <c r="K49" s="70">
        <v>10</v>
      </c>
      <c r="L49" s="70">
        <v>11</v>
      </c>
      <c r="M49" s="70">
        <v>12</v>
      </c>
      <c r="N49" s="284"/>
    </row>
    <row r="50" spans="1:14" ht="15">
      <c r="A50" s="74" t="str">
        <f>'Кадры, ставки ЗП'!A4</f>
        <v>CEO Генеральный директор</v>
      </c>
      <c r="B50" s="75">
        <v>1</v>
      </c>
      <c r="C50" s="75">
        <v>1</v>
      </c>
      <c r="D50" s="75">
        <v>1</v>
      </c>
      <c r="E50" s="75">
        <v>1</v>
      </c>
      <c r="F50" s="75">
        <v>1</v>
      </c>
      <c r="G50" s="75">
        <v>1</v>
      </c>
      <c r="H50" s="75">
        <v>1</v>
      </c>
      <c r="I50" s="75">
        <v>1</v>
      </c>
      <c r="J50" s="75">
        <v>1</v>
      </c>
      <c r="K50" s="75">
        <v>1</v>
      </c>
      <c r="L50" s="75">
        <v>1</v>
      </c>
      <c r="M50" s="75">
        <v>1</v>
      </c>
      <c r="N50" s="68">
        <f>SUM(B50:M50)/12</f>
        <v>1</v>
      </c>
    </row>
    <row r="51" spans="1:14" ht="15">
      <c r="A51" s="74" t="str">
        <f>'Кадры, ставки ЗП'!A6</f>
        <v>Начальник производства</v>
      </c>
      <c r="B51" s="75">
        <v>1</v>
      </c>
      <c r="C51" s="75">
        <v>1</v>
      </c>
      <c r="D51" s="75">
        <v>1</v>
      </c>
      <c r="E51" s="75">
        <v>1</v>
      </c>
      <c r="F51" s="75">
        <v>1</v>
      </c>
      <c r="G51" s="75">
        <v>1</v>
      </c>
      <c r="H51" s="75">
        <v>1</v>
      </c>
      <c r="I51" s="75">
        <v>1</v>
      </c>
      <c r="J51" s="75">
        <v>1</v>
      </c>
      <c r="K51" s="75">
        <v>1</v>
      </c>
      <c r="L51" s="75">
        <v>1</v>
      </c>
      <c r="M51" s="75">
        <v>1</v>
      </c>
      <c r="N51" s="68">
        <f>SUM(B51:M51)/12</f>
        <v>1</v>
      </c>
    </row>
    <row r="52" spans="1:14" ht="15">
      <c r="A52" s="74" t="str">
        <f>'Кадры, ставки ЗП'!A7</f>
        <v>Инженер-сборщик (производство)</v>
      </c>
      <c r="B52" s="75">
        <v>5</v>
      </c>
      <c r="C52" s="75">
        <v>5</v>
      </c>
      <c r="D52" s="75">
        <v>5</v>
      </c>
      <c r="E52" s="75">
        <v>5</v>
      </c>
      <c r="F52" s="75">
        <v>5</v>
      </c>
      <c r="G52" s="75">
        <v>5</v>
      </c>
      <c r="H52" s="75">
        <v>5</v>
      </c>
      <c r="I52" s="75">
        <v>5</v>
      </c>
      <c r="J52" s="75">
        <v>5</v>
      </c>
      <c r="K52" s="75">
        <v>5</v>
      </c>
      <c r="L52" s="75">
        <v>5</v>
      </c>
      <c r="M52" s="75">
        <v>5</v>
      </c>
      <c r="N52" s="68">
        <f t="shared" ref="N52:N56" si="17">SUM(B52:M52)/12</f>
        <v>5</v>
      </c>
    </row>
    <row r="53" spans="1:14" ht="15">
      <c r="A53" s="74" t="str">
        <f>'Кадры, ставки ЗП'!A8</f>
        <v>Инженер-разработчик (R&amp;D)</v>
      </c>
      <c r="B53" s="75">
        <v>2</v>
      </c>
      <c r="C53" s="75">
        <v>2</v>
      </c>
      <c r="D53" s="75">
        <v>2</v>
      </c>
      <c r="E53" s="75">
        <v>2</v>
      </c>
      <c r="F53" s="75">
        <v>2</v>
      </c>
      <c r="G53" s="75">
        <v>2</v>
      </c>
      <c r="H53" s="75">
        <v>2</v>
      </c>
      <c r="I53" s="75">
        <v>2</v>
      </c>
      <c r="J53" s="75">
        <v>2</v>
      </c>
      <c r="K53" s="75">
        <v>2</v>
      </c>
      <c r="L53" s="75">
        <v>2</v>
      </c>
      <c r="M53" s="75">
        <v>2</v>
      </c>
      <c r="N53" s="68">
        <f t="shared" si="17"/>
        <v>2</v>
      </c>
    </row>
    <row r="54" spans="1:14" ht="15">
      <c r="A54" s="74" t="str">
        <f>'Кадры, ставки ЗП'!A12</f>
        <v>PR-менеджер</v>
      </c>
      <c r="B54" s="75">
        <v>1</v>
      </c>
      <c r="C54" s="75">
        <v>1</v>
      </c>
      <c r="D54" s="75">
        <v>1</v>
      </c>
      <c r="E54" s="75">
        <v>1</v>
      </c>
      <c r="F54" s="75">
        <v>1</v>
      </c>
      <c r="G54" s="75">
        <v>1</v>
      </c>
      <c r="H54" s="75">
        <v>1</v>
      </c>
      <c r="I54" s="75">
        <v>1</v>
      </c>
      <c r="J54" s="75">
        <v>1</v>
      </c>
      <c r="K54" s="75">
        <v>1</v>
      </c>
      <c r="L54" s="75">
        <v>1</v>
      </c>
      <c r="M54" s="75">
        <v>1</v>
      </c>
      <c r="N54" s="68">
        <f t="shared" si="17"/>
        <v>1</v>
      </c>
    </row>
    <row r="55" spans="1:14" ht="15">
      <c r="A55" s="74" t="str">
        <f>'Кадры, ставки ЗП'!A14</f>
        <v>Менеджер (отдел продаж)</v>
      </c>
      <c r="B55" s="75">
        <v>3</v>
      </c>
      <c r="C55" s="75">
        <v>3</v>
      </c>
      <c r="D55" s="75">
        <v>3</v>
      </c>
      <c r="E55" s="75">
        <v>3</v>
      </c>
      <c r="F55" s="75">
        <v>3</v>
      </c>
      <c r="G55" s="75">
        <v>3</v>
      </c>
      <c r="H55" s="75">
        <v>3</v>
      </c>
      <c r="I55" s="75">
        <v>3</v>
      </c>
      <c r="J55" s="75">
        <v>3</v>
      </c>
      <c r="K55" s="75">
        <v>3</v>
      </c>
      <c r="L55" s="75">
        <v>3</v>
      </c>
      <c r="M55" s="75">
        <v>3</v>
      </c>
      <c r="N55" s="68">
        <f t="shared" si="17"/>
        <v>3</v>
      </c>
    </row>
    <row r="56" spans="1:14" ht="15">
      <c r="A56" s="74" t="str">
        <f>'Кадры, ставки ЗП'!A15</f>
        <v>Вспомогательный персонал</v>
      </c>
      <c r="B56" s="75">
        <v>3</v>
      </c>
      <c r="C56" s="75">
        <v>3</v>
      </c>
      <c r="D56" s="75">
        <v>3</v>
      </c>
      <c r="E56" s="75">
        <v>3</v>
      </c>
      <c r="F56" s="75">
        <v>3</v>
      </c>
      <c r="G56" s="75">
        <v>3</v>
      </c>
      <c r="H56" s="75">
        <v>3</v>
      </c>
      <c r="I56" s="75">
        <v>3</v>
      </c>
      <c r="J56" s="75">
        <v>3</v>
      </c>
      <c r="K56" s="75">
        <v>3</v>
      </c>
      <c r="L56" s="75">
        <v>3</v>
      </c>
      <c r="M56" s="75">
        <v>3</v>
      </c>
      <c r="N56" s="68">
        <f t="shared" si="17"/>
        <v>3</v>
      </c>
    </row>
    <row r="57" spans="1:14">
      <c r="A57" s="7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4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</row>
    <row r="59" spans="1:14" ht="15">
      <c r="A59" s="57" t="s">
        <v>72</v>
      </c>
      <c r="B59" s="59">
        <f>SUM(B50:B58)</f>
        <v>16</v>
      </c>
      <c r="C59" s="59">
        <f t="shared" ref="C59" si="18">SUM(C50:C58)</f>
        <v>16</v>
      </c>
      <c r="D59" s="59">
        <f t="shared" ref="D59" si="19">SUM(D50:D58)</f>
        <v>16</v>
      </c>
      <c r="E59" s="59">
        <f t="shared" ref="E59" si="20">SUM(E50:E58)</f>
        <v>16</v>
      </c>
      <c r="F59" s="59">
        <f t="shared" ref="F59" si="21">SUM(F50:F58)</f>
        <v>16</v>
      </c>
      <c r="G59" s="59">
        <f t="shared" ref="G59" si="22">SUM(G50:G58)</f>
        <v>16</v>
      </c>
      <c r="H59" s="59">
        <f t="shared" ref="H59" si="23">SUM(H50:H58)</f>
        <v>16</v>
      </c>
      <c r="I59" s="59">
        <f t="shared" ref="I59" si="24">SUM(I50:I58)</f>
        <v>16</v>
      </c>
      <c r="J59" s="59">
        <f t="shared" ref="J59" si="25">SUM(J50:J58)</f>
        <v>16</v>
      </c>
      <c r="K59" s="59">
        <f t="shared" ref="K59" si="26">SUM(K50:K58)</f>
        <v>16</v>
      </c>
      <c r="L59" s="59">
        <f t="shared" ref="L59" si="27">SUM(L50:L58)</f>
        <v>16</v>
      </c>
      <c r="M59" s="59">
        <f t="shared" ref="M59" si="28">SUM(M50:M58)</f>
        <v>16</v>
      </c>
      <c r="N59" s="69">
        <f t="shared" ref="N59" si="29">SUM(B59:M59)/12</f>
        <v>16</v>
      </c>
    </row>
    <row r="60" spans="1:14" ht="15">
      <c r="A60" s="58" t="s">
        <v>58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4" ht="15">
      <c r="A61" s="57" t="s">
        <v>59</v>
      </c>
      <c r="B61" s="59">
        <f>B59</f>
        <v>16</v>
      </c>
      <c r="C61" s="59">
        <f t="shared" ref="C61:M61" si="30">C59</f>
        <v>16</v>
      </c>
      <c r="D61" s="59">
        <f t="shared" si="30"/>
        <v>16</v>
      </c>
      <c r="E61" s="59">
        <f t="shared" si="30"/>
        <v>16</v>
      </c>
      <c r="F61" s="59">
        <f t="shared" si="30"/>
        <v>16</v>
      </c>
      <c r="G61" s="59">
        <f t="shared" si="30"/>
        <v>16</v>
      </c>
      <c r="H61" s="59">
        <f t="shared" si="30"/>
        <v>16</v>
      </c>
      <c r="I61" s="59">
        <f t="shared" si="30"/>
        <v>16</v>
      </c>
      <c r="J61" s="59">
        <f t="shared" si="30"/>
        <v>16</v>
      </c>
      <c r="K61" s="59">
        <f t="shared" si="30"/>
        <v>16</v>
      </c>
      <c r="L61" s="59">
        <f t="shared" si="30"/>
        <v>16</v>
      </c>
      <c r="M61" s="59">
        <f t="shared" si="30"/>
        <v>16</v>
      </c>
      <c r="N61" s="69">
        <f t="shared" ref="N61" si="31">SUM(B61:M61)/12</f>
        <v>16</v>
      </c>
    </row>
    <row r="62" spans="1:14" ht="15">
      <c r="A62" s="57" t="s">
        <v>60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1:14" ht="15">
      <c r="A63" s="57" t="s">
        <v>61</v>
      </c>
      <c r="B63" s="59">
        <f>B64/SUM(B50:B58)</f>
        <v>37500</v>
      </c>
      <c r="C63" s="59">
        <f t="shared" ref="C63" si="32">C64/SUM(C50:C58)</f>
        <v>37500</v>
      </c>
      <c r="D63" s="59">
        <f t="shared" ref="D63" si="33">D64/SUM(D50:D58)</f>
        <v>37500</v>
      </c>
      <c r="E63" s="59">
        <f t="shared" ref="E63" si="34">E64/SUM(E50:E58)</f>
        <v>37500</v>
      </c>
      <c r="F63" s="59">
        <f t="shared" ref="F63" si="35">F64/SUM(F50:F58)</f>
        <v>37500</v>
      </c>
      <c r="G63" s="59">
        <f t="shared" ref="G63" si="36">G64/SUM(G50:G58)</f>
        <v>37500</v>
      </c>
      <c r="H63" s="59">
        <f t="shared" ref="H63" si="37">H64/SUM(H50:H58)</f>
        <v>37500</v>
      </c>
      <c r="I63" s="59">
        <f t="shared" ref="I63" si="38">I64/SUM(I50:I58)</f>
        <v>37500</v>
      </c>
      <c r="J63" s="59">
        <f t="shared" ref="J63" si="39">J64/SUM(J50:J58)</f>
        <v>37500</v>
      </c>
      <c r="K63" s="59">
        <f t="shared" ref="K63" si="40">K64/SUM(K50:K58)</f>
        <v>37500</v>
      </c>
      <c r="L63" s="59">
        <f t="shared" ref="L63" si="41">L64/SUM(L50:L58)</f>
        <v>37500</v>
      </c>
      <c r="M63" s="59">
        <f t="shared" ref="M63" si="42">M64/SUM(M50:M58)</f>
        <v>37500</v>
      </c>
      <c r="N63" s="69">
        <f t="shared" ref="N63" si="43">SUM(B63:M63)/12</f>
        <v>37500</v>
      </c>
    </row>
    <row r="64" spans="1:14" ht="15">
      <c r="A64" s="57" t="s">
        <v>62</v>
      </c>
      <c r="B64" s="59">
        <f>B50*'Кадры, ставки ЗП'!B4+B51*'Кадры, ставки ЗП'!B6+КПпроизв!B52*'Кадры, ставки ЗП'!B7+КПпроизв!B53*'Кадры, ставки ЗП'!B8+КПпроизв!B54*'Кадры, ставки ЗП'!B12+B55*'Кадры, ставки ЗП'!B14+B56*'Кадры, ставки ЗП'!B15</f>
        <v>600000</v>
      </c>
      <c r="C64" s="59">
        <f>C50*'Кадры, ставки ЗП'!C4+C51*'Кадры, ставки ЗП'!C6+КПпроизв!C52*'Кадры, ставки ЗП'!C7+КПпроизв!C53*'Кадры, ставки ЗП'!C8+КПпроизв!C54*'Кадры, ставки ЗП'!C12+C55*'Кадры, ставки ЗП'!C14+C56*'Кадры, ставки ЗП'!C15</f>
        <v>600000</v>
      </c>
      <c r="D64" s="59">
        <f>D50*'Кадры, ставки ЗП'!D4+D51*'Кадры, ставки ЗП'!D6+КПпроизв!D52*'Кадры, ставки ЗП'!D7+КПпроизв!D53*'Кадры, ставки ЗП'!D8+КПпроизв!D54*'Кадры, ставки ЗП'!D12+D55*'Кадры, ставки ЗП'!D14+D56*'Кадры, ставки ЗП'!D15</f>
        <v>600000</v>
      </c>
      <c r="E64" s="59">
        <f>E50*'Кадры, ставки ЗП'!E4+E51*'Кадры, ставки ЗП'!E6+КПпроизв!E52*'Кадры, ставки ЗП'!E7+КПпроизв!E53*'Кадры, ставки ЗП'!E8+КПпроизв!E54*'Кадры, ставки ЗП'!E12+E55*'Кадры, ставки ЗП'!E14+E56*'Кадры, ставки ЗП'!E15</f>
        <v>600000</v>
      </c>
      <c r="F64" s="59">
        <f>F50*'Кадры, ставки ЗП'!F4+F51*'Кадры, ставки ЗП'!F6+КПпроизв!F52*'Кадры, ставки ЗП'!F7+КПпроизв!F53*'Кадры, ставки ЗП'!F8+КПпроизв!F54*'Кадры, ставки ЗП'!F12+F55*'Кадры, ставки ЗП'!F14+F56*'Кадры, ставки ЗП'!F15</f>
        <v>600000</v>
      </c>
      <c r="G64" s="59">
        <f>G50*'Кадры, ставки ЗП'!G4+G51*'Кадры, ставки ЗП'!G6+КПпроизв!G52*'Кадры, ставки ЗП'!G7+КПпроизв!G53*'Кадры, ставки ЗП'!G8+КПпроизв!G54*'Кадры, ставки ЗП'!G12+G55*'Кадры, ставки ЗП'!G14+G56*'Кадры, ставки ЗП'!G15</f>
        <v>600000</v>
      </c>
      <c r="H64" s="59">
        <f>H50*'Кадры, ставки ЗП'!H4+H51*'Кадры, ставки ЗП'!H6+КПпроизв!H52*'Кадры, ставки ЗП'!H7+КПпроизв!H53*'Кадры, ставки ЗП'!H8+КПпроизв!H54*'Кадры, ставки ЗП'!H12+H55*'Кадры, ставки ЗП'!H14+H56*'Кадры, ставки ЗП'!H15</f>
        <v>600000</v>
      </c>
      <c r="I64" s="59">
        <f>I50*'Кадры, ставки ЗП'!I4+I51*'Кадры, ставки ЗП'!I6+КПпроизв!I52*'Кадры, ставки ЗП'!I7+КПпроизв!I53*'Кадры, ставки ЗП'!I8+КПпроизв!I54*'Кадры, ставки ЗП'!I12+I55*'Кадры, ставки ЗП'!I14+I56*'Кадры, ставки ЗП'!I15</f>
        <v>600000</v>
      </c>
      <c r="J64" s="59">
        <f>J50*'Кадры, ставки ЗП'!J4+J51*'Кадры, ставки ЗП'!J6+КПпроизв!J52*'Кадры, ставки ЗП'!J7+КПпроизв!J53*'Кадры, ставки ЗП'!J8+КПпроизв!J54*'Кадры, ставки ЗП'!J12+J55*'Кадры, ставки ЗП'!J14+J56*'Кадры, ставки ЗП'!J15</f>
        <v>600000</v>
      </c>
      <c r="K64" s="59">
        <f>K50*'Кадры, ставки ЗП'!K4+K51*'Кадры, ставки ЗП'!K6+КПпроизв!K52*'Кадры, ставки ЗП'!K7+КПпроизв!K53*'Кадры, ставки ЗП'!K8+КПпроизв!K54*'Кадры, ставки ЗП'!K12+K55*'Кадры, ставки ЗП'!K14+K56*'Кадры, ставки ЗП'!K15</f>
        <v>600000</v>
      </c>
      <c r="L64" s="59">
        <f>L50*'Кадры, ставки ЗП'!L4+L51*'Кадры, ставки ЗП'!L6+КПпроизв!L52*'Кадры, ставки ЗП'!L7+КПпроизв!L53*'Кадры, ставки ЗП'!L8+КПпроизв!L54*'Кадры, ставки ЗП'!L12+L55*'Кадры, ставки ЗП'!L14+L56*'Кадры, ставки ЗП'!L15</f>
        <v>600000</v>
      </c>
      <c r="M64" s="59">
        <f>M50*'Кадры, ставки ЗП'!M4+M51*'Кадры, ставки ЗП'!M6+КПпроизв!M52*'Кадры, ставки ЗП'!M7+КПпроизв!M53*'Кадры, ставки ЗП'!M8+КПпроизв!M54*'Кадры, ставки ЗП'!M12+M55*'Кадры, ставки ЗП'!M14+M56*'Кадры, ставки ЗП'!M15</f>
        <v>600000</v>
      </c>
      <c r="N64" s="69">
        <f>SUM(B64:M64)</f>
        <v>7200000</v>
      </c>
    </row>
    <row r="65" spans="1:14" ht="15">
      <c r="A65" s="57" t="s">
        <v>63</v>
      </c>
      <c r="B65" s="61">
        <f>B64/100*30.2</f>
        <v>181200</v>
      </c>
      <c r="C65" s="61">
        <f t="shared" ref="C65:D65" si="44">C64/100*30.2</f>
        <v>181200</v>
      </c>
      <c r="D65" s="61">
        <f t="shared" si="44"/>
        <v>181200</v>
      </c>
      <c r="E65" s="61">
        <f>E64/100*30.2</f>
        <v>181200</v>
      </c>
      <c r="F65" s="61">
        <f t="shared" ref="F65:G65" si="45">F64/100*30.2</f>
        <v>181200</v>
      </c>
      <c r="G65" s="61">
        <f t="shared" si="45"/>
        <v>181200</v>
      </c>
      <c r="H65" s="61">
        <f>H64/100*30.2</f>
        <v>181200</v>
      </c>
      <c r="I65" s="61">
        <f t="shared" ref="I65:J65" si="46">I64/100*30.2</f>
        <v>181200</v>
      </c>
      <c r="J65" s="61">
        <f t="shared" si="46"/>
        <v>181200</v>
      </c>
      <c r="K65" s="61">
        <f>K64/100*30.2</f>
        <v>181200</v>
      </c>
      <c r="L65" s="61">
        <f t="shared" ref="L65:M65" si="47">L64/100*30.2</f>
        <v>181200</v>
      </c>
      <c r="M65" s="61">
        <f t="shared" si="47"/>
        <v>181200</v>
      </c>
      <c r="N65" s="69">
        <f>SUM(B65:M65)</f>
        <v>2174400</v>
      </c>
    </row>
  </sheetData>
  <mergeCells count="22">
    <mergeCell ref="B3:N3"/>
    <mergeCell ref="K48:M48"/>
    <mergeCell ref="N48:N49"/>
    <mergeCell ref="N27:N28"/>
    <mergeCell ref="A47:A49"/>
    <mergeCell ref="B47:N47"/>
    <mergeCell ref="B48:D48"/>
    <mergeCell ref="E48:G48"/>
    <mergeCell ref="H48:J48"/>
    <mergeCell ref="N6:N7"/>
    <mergeCell ref="A26:A28"/>
    <mergeCell ref="B26:N26"/>
    <mergeCell ref="B27:D27"/>
    <mergeCell ref="E27:G27"/>
    <mergeCell ref="H27:J27"/>
    <mergeCell ref="K27:M27"/>
    <mergeCell ref="A5:A7"/>
    <mergeCell ref="B5:N5"/>
    <mergeCell ref="B6:D6"/>
    <mergeCell ref="E6:G6"/>
    <mergeCell ref="H6:J6"/>
    <mergeCell ref="K6:M6"/>
  </mergeCells>
  <pageMargins left="0.7" right="0.7" top="0.75" bottom="0.75" header="0.3" footer="0.3"/>
  <ignoredErrors>
    <ignoredError sqref="B17 C17:M17 B21 C21:M21 B38:C38 D38:M38 B42:M42 B59:M59 B63:M63" formulaRange="1"/>
  </ignoredError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D15F-A02C-1F43-8822-BFA85445E533}">
  <sheetPr>
    <tabColor theme="9" tint="-0.249977111117893"/>
  </sheetPr>
  <dimension ref="A1:N37"/>
  <sheetViews>
    <sheetView zoomScaleNormal="100" workbookViewId="0">
      <selection activeCell="I9" sqref="I9"/>
    </sheetView>
  </sheetViews>
  <sheetFormatPr baseColWidth="10" defaultRowHeight="15"/>
  <cols>
    <col min="1" max="1" width="34.33203125" customWidth="1"/>
    <col min="2" max="14" width="8.5" customWidth="1"/>
  </cols>
  <sheetData>
    <row r="1" spans="1:14">
      <c r="A1" t="s">
        <v>56</v>
      </c>
    </row>
    <row r="3" spans="1:14">
      <c r="A3" s="292" t="s">
        <v>51</v>
      </c>
      <c r="B3" s="295">
        <f>'Total услуга'!D3</f>
        <v>1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7"/>
    </row>
    <row r="4" spans="1:14">
      <c r="A4" s="293"/>
      <c r="B4" s="295" t="s">
        <v>52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7"/>
      <c r="N4" s="298" t="s">
        <v>53</v>
      </c>
    </row>
    <row r="5" spans="1:14">
      <c r="A5" s="294"/>
      <c r="B5" s="76">
        <v>1</v>
      </c>
      <c r="C5" s="76">
        <v>2</v>
      </c>
      <c r="D5" s="76">
        <v>3</v>
      </c>
      <c r="E5" s="76">
        <v>4</v>
      </c>
      <c r="F5" s="76">
        <v>5</v>
      </c>
      <c r="G5" s="76">
        <v>6</v>
      </c>
      <c r="H5" s="76">
        <v>7</v>
      </c>
      <c r="I5" s="76">
        <v>8</v>
      </c>
      <c r="J5" s="76">
        <v>9</v>
      </c>
      <c r="K5" s="76">
        <v>10</v>
      </c>
      <c r="L5" s="76">
        <v>11</v>
      </c>
      <c r="M5" s="76">
        <v>12</v>
      </c>
      <c r="N5" s="299"/>
    </row>
    <row r="6" spans="1:14">
      <c r="A6" s="52" t="s">
        <v>78</v>
      </c>
      <c r="B6" s="224"/>
      <c r="C6" s="224">
        <v>0</v>
      </c>
      <c r="D6" s="224">
        <v>0</v>
      </c>
      <c r="E6" s="224"/>
      <c r="F6" s="224">
        <v>0</v>
      </c>
      <c r="G6" s="224">
        <v>0</v>
      </c>
      <c r="H6" s="224"/>
      <c r="I6" s="224">
        <v>4500</v>
      </c>
      <c r="J6" s="224">
        <v>4500</v>
      </c>
      <c r="K6" s="224">
        <v>4500</v>
      </c>
      <c r="L6" s="224">
        <v>4500</v>
      </c>
      <c r="M6" s="224">
        <v>4500</v>
      </c>
      <c r="N6" s="79"/>
    </row>
    <row r="7" spans="1:14" ht="15" customHeight="1">
      <c r="A7" s="53" t="s">
        <v>79</v>
      </c>
      <c r="B7" s="79"/>
      <c r="C7" s="79">
        <f>СКпроизв!C19</f>
        <v>6810.7318940000005</v>
      </c>
      <c r="D7" s="79">
        <f>СКпроизв!C19</f>
        <v>6810.7318940000005</v>
      </c>
      <c r="E7" s="79"/>
      <c r="F7" s="79"/>
      <c r="G7" s="79"/>
      <c r="H7" s="79"/>
      <c r="I7" s="79">
        <f>СКпроизв!E19</f>
        <v>3417.724596</v>
      </c>
      <c r="J7" s="79">
        <f>СКпроизв!E19</f>
        <v>3417.724596</v>
      </c>
      <c r="K7" s="79">
        <f>СКпроизв!E19</f>
        <v>3417.724596</v>
      </c>
      <c r="L7" s="79">
        <f>СКпроизв!E19</f>
        <v>3417.724596</v>
      </c>
      <c r="M7" s="79">
        <f>СКпроизв!E19</f>
        <v>3417.724596</v>
      </c>
      <c r="N7" s="79"/>
    </row>
    <row r="8" spans="1:14">
      <c r="A8" s="53" t="s">
        <v>175</v>
      </c>
      <c r="B8" s="79"/>
      <c r="C8" s="79">
        <f>(SUM('Ден поток'!C9:D25)+SUM('Ден поток'!C61:D65))/SUM('План производства'!C10:D10)*1000</f>
        <v>40697.069173587006</v>
      </c>
      <c r="D8" s="79">
        <f>(SUM('Ден поток'!C9:D25)+SUM('Ден поток'!C61:D65))/SUM('План производства'!C10:D10)*1000</f>
        <v>40697.069173587006</v>
      </c>
      <c r="E8" s="79"/>
      <c r="F8" s="79"/>
      <c r="G8" s="79"/>
      <c r="H8" s="79"/>
      <c r="I8" s="79">
        <f>(SUM('Ден поток'!E9:F25)+SUM('Ден поток'!E61:F65))/SUM('План производства'!H10:M10)*1000</f>
        <v>4251.2148503740809</v>
      </c>
      <c r="J8" s="79">
        <f>I8</f>
        <v>4251.2148503740809</v>
      </c>
      <c r="K8" s="79">
        <f t="shared" ref="K8:M8" si="0">J8</f>
        <v>4251.2148503740809</v>
      </c>
      <c r="L8" s="79">
        <f t="shared" si="0"/>
        <v>4251.2148503740809</v>
      </c>
      <c r="M8" s="79">
        <f t="shared" si="0"/>
        <v>4251.2148503740809</v>
      </c>
      <c r="N8" s="79"/>
    </row>
    <row r="9" spans="1:14">
      <c r="A9" s="52" t="s">
        <v>55</v>
      </c>
      <c r="B9" s="79"/>
      <c r="C9" s="79">
        <v>10</v>
      </c>
      <c r="D9" s="79">
        <v>40</v>
      </c>
      <c r="E9" s="79"/>
      <c r="F9" s="79"/>
      <c r="G9" s="79"/>
      <c r="H9" s="79"/>
      <c r="I9" s="79">
        <v>2000</v>
      </c>
      <c r="J9" s="79">
        <v>2000</v>
      </c>
      <c r="K9" s="79">
        <v>2000</v>
      </c>
      <c r="L9" s="79">
        <v>2000</v>
      </c>
      <c r="M9" s="79">
        <v>2000</v>
      </c>
      <c r="N9" s="79">
        <f>SUM(B9:M9)</f>
        <v>10050</v>
      </c>
    </row>
    <row r="10" spans="1:14">
      <c r="A10" s="52" t="s">
        <v>54</v>
      </c>
      <c r="B10" s="79"/>
      <c r="C10" s="79">
        <v>0</v>
      </c>
      <c r="D10" s="79">
        <v>50</v>
      </c>
      <c r="E10" s="79"/>
      <c r="F10" s="79"/>
      <c r="G10" s="79"/>
      <c r="H10" s="79"/>
      <c r="I10" s="79">
        <v>2000</v>
      </c>
      <c r="J10" s="79">
        <v>2000</v>
      </c>
      <c r="K10" s="79">
        <v>2000</v>
      </c>
      <c r="L10" s="79">
        <v>2000</v>
      </c>
      <c r="M10" s="79">
        <v>2000</v>
      </c>
      <c r="N10" s="79">
        <f>SUM(B10:M10)</f>
        <v>10050</v>
      </c>
    </row>
    <row r="11" spans="1:14">
      <c r="A11" s="53" t="s">
        <v>81</v>
      </c>
      <c r="B11" s="79"/>
      <c r="C11" s="79">
        <f>C10*C6</f>
        <v>0</v>
      </c>
      <c r="D11" s="79">
        <f>D10*D6</f>
        <v>0</v>
      </c>
      <c r="E11" s="79"/>
      <c r="F11" s="79"/>
      <c r="G11" s="79"/>
      <c r="H11" s="79"/>
      <c r="I11" s="79">
        <f>I10*I6</f>
        <v>9000000</v>
      </c>
      <c r="J11" s="79">
        <f t="shared" ref="J11:M11" si="1">J10*J6</f>
        <v>9000000</v>
      </c>
      <c r="K11" s="79">
        <f t="shared" si="1"/>
        <v>9000000</v>
      </c>
      <c r="L11" s="79">
        <f t="shared" si="1"/>
        <v>9000000</v>
      </c>
      <c r="M11" s="79">
        <f t="shared" si="1"/>
        <v>9000000</v>
      </c>
      <c r="N11" s="79">
        <f>SUM(B11:M11)</f>
        <v>45000000</v>
      </c>
    </row>
    <row r="12" spans="1:14">
      <c r="A12" s="54" t="s">
        <v>82</v>
      </c>
      <c r="B12" s="79"/>
      <c r="C12" s="79">
        <f>C11</f>
        <v>0</v>
      </c>
      <c r="D12" s="79">
        <f t="shared" ref="D12:M12" si="2">D11</f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  <c r="H12" s="79">
        <f t="shared" si="2"/>
        <v>0</v>
      </c>
      <c r="I12" s="79">
        <f t="shared" si="2"/>
        <v>9000000</v>
      </c>
      <c r="J12" s="79">
        <f t="shared" si="2"/>
        <v>9000000</v>
      </c>
      <c r="K12" s="79">
        <f t="shared" si="2"/>
        <v>9000000</v>
      </c>
      <c r="L12" s="79">
        <f t="shared" si="2"/>
        <v>9000000</v>
      </c>
      <c r="M12" s="79">
        <f t="shared" si="2"/>
        <v>9000000</v>
      </c>
      <c r="N12" s="79">
        <f>SUM(B12:M12)</f>
        <v>45000000</v>
      </c>
    </row>
    <row r="13" spans="1:14">
      <c r="A13" s="77" t="s">
        <v>83</v>
      </c>
      <c r="B13" s="300" t="s">
        <v>84</v>
      </c>
      <c r="C13" s="301"/>
      <c r="D13" s="301"/>
      <c r="E13" s="301"/>
      <c r="F13" s="301"/>
      <c r="G13" s="302"/>
      <c r="H13" s="300" t="s">
        <v>85</v>
      </c>
      <c r="I13" s="301"/>
      <c r="J13" s="301"/>
      <c r="K13" s="301"/>
      <c r="L13" s="301"/>
      <c r="M13" s="302"/>
      <c r="N13" s="77"/>
    </row>
    <row r="14" spans="1:14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>
      <c r="A15" s="292" t="s">
        <v>51</v>
      </c>
      <c r="B15" s="295">
        <f>B3+1</f>
        <v>2</v>
      </c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7"/>
    </row>
    <row r="16" spans="1:14">
      <c r="A16" s="293"/>
      <c r="B16" s="295" t="s">
        <v>52</v>
      </c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7"/>
      <c r="N16" s="298" t="s">
        <v>53</v>
      </c>
    </row>
    <row r="17" spans="1:14">
      <c r="A17" s="294"/>
      <c r="B17" s="76">
        <v>1</v>
      </c>
      <c r="C17" s="76">
        <v>2</v>
      </c>
      <c r="D17" s="76">
        <v>3</v>
      </c>
      <c r="E17" s="76">
        <v>4</v>
      </c>
      <c r="F17" s="76">
        <v>5</v>
      </c>
      <c r="G17" s="76">
        <v>6</v>
      </c>
      <c r="H17" s="76">
        <v>7</v>
      </c>
      <c r="I17" s="76">
        <v>8</v>
      </c>
      <c r="J17" s="76">
        <v>9</v>
      </c>
      <c r="K17" s="76">
        <v>10</v>
      </c>
      <c r="L17" s="76">
        <v>11</v>
      </c>
      <c r="M17" s="76">
        <v>12</v>
      </c>
      <c r="N17" s="299"/>
    </row>
    <row r="18" spans="1:14">
      <c r="A18" s="52" t="s">
        <v>78</v>
      </c>
      <c r="B18" s="225"/>
      <c r="C18" s="224">
        <v>4500</v>
      </c>
      <c r="D18" s="224">
        <v>4500</v>
      </c>
      <c r="E18" s="224">
        <v>4500</v>
      </c>
      <c r="F18" s="224">
        <v>4500</v>
      </c>
      <c r="G18" s="224">
        <v>4500</v>
      </c>
      <c r="H18" s="224"/>
      <c r="I18" s="224">
        <v>4500</v>
      </c>
      <c r="J18" s="224">
        <v>4500</v>
      </c>
      <c r="K18" s="224">
        <v>4500</v>
      </c>
      <c r="L18" s="224">
        <v>4500</v>
      </c>
      <c r="M18" s="224">
        <v>4500</v>
      </c>
      <c r="N18" s="79"/>
    </row>
    <row r="19" spans="1:14">
      <c r="A19" s="53" t="s">
        <v>79</v>
      </c>
      <c r="B19" s="78"/>
      <c r="C19" s="79">
        <f>СКпроизв!G19</f>
        <v>2227.0140143999997</v>
      </c>
      <c r="D19" s="79">
        <f>СКпроизв!G19</f>
        <v>2227.0140143999997</v>
      </c>
      <c r="E19" s="79">
        <f>СКпроизв!G19</f>
        <v>2227.0140143999997</v>
      </c>
      <c r="F19" s="79">
        <f>СКпроизв!G19</f>
        <v>2227.0140143999997</v>
      </c>
      <c r="G19" s="79">
        <f>СКпроизв!G19</f>
        <v>2227.0140143999997</v>
      </c>
      <c r="H19" s="79"/>
      <c r="I19" s="79">
        <f>СКпроизв!G19</f>
        <v>2227.0140143999997</v>
      </c>
      <c r="J19" s="79">
        <f>СКпроизв!G19</f>
        <v>2227.0140143999997</v>
      </c>
      <c r="K19" s="79">
        <f>СКпроизв!G19</f>
        <v>2227.0140143999997</v>
      </c>
      <c r="L19" s="79">
        <f>СКпроизв!G19</f>
        <v>2227.0140143999997</v>
      </c>
      <c r="M19" s="79">
        <f>СКпроизв!G19</f>
        <v>2227.0140143999997</v>
      </c>
      <c r="N19" s="79"/>
    </row>
    <row r="20" spans="1:14">
      <c r="A20" s="53" t="s">
        <v>176</v>
      </c>
      <c r="B20" s="78"/>
      <c r="C20" s="79">
        <f>(SUM('Ден поток'!G9:H26)+SUM('Ден поток'!G61:H65,'Ден поток'!G79:H83))/SUM('План производства'!B22:G22)*1000</f>
        <v>4256.095305224806</v>
      </c>
      <c r="D20" s="79">
        <f>C20</f>
        <v>4256.095305224806</v>
      </c>
      <c r="E20" s="79">
        <f t="shared" ref="E20:G20" si="3">D20</f>
        <v>4256.095305224806</v>
      </c>
      <c r="F20" s="79">
        <f t="shared" si="3"/>
        <v>4256.095305224806</v>
      </c>
      <c r="G20" s="79">
        <f t="shared" si="3"/>
        <v>4256.095305224806</v>
      </c>
      <c r="H20" s="79"/>
      <c r="I20" s="79">
        <f>(SUM('Ден поток'!I9:J26)+SUM('Ден поток'!I61:J65,'Ден поток'!I79:J83))/SUM('План производства'!H21:M21)*1000</f>
        <v>3027.1773076746158</v>
      </c>
      <c r="J20" s="79">
        <f>I20</f>
        <v>3027.1773076746158</v>
      </c>
      <c r="K20" s="79">
        <f t="shared" ref="K20:M20" si="4">J20</f>
        <v>3027.1773076746158</v>
      </c>
      <c r="L20" s="79">
        <f t="shared" si="4"/>
        <v>3027.1773076746158</v>
      </c>
      <c r="M20" s="79">
        <f t="shared" si="4"/>
        <v>3027.1773076746158</v>
      </c>
      <c r="N20" s="79"/>
    </row>
    <row r="21" spans="1:14">
      <c r="A21" s="52" t="s">
        <v>55</v>
      </c>
      <c r="B21" s="78"/>
      <c r="C21" s="79">
        <v>20000</v>
      </c>
      <c r="D21" s="79">
        <v>20000</v>
      </c>
      <c r="E21" s="79">
        <v>20000</v>
      </c>
      <c r="F21" s="79">
        <v>20000</v>
      </c>
      <c r="G21" s="79">
        <v>20000</v>
      </c>
      <c r="H21" s="79"/>
      <c r="I21" s="79">
        <v>20000</v>
      </c>
      <c r="J21" s="79">
        <v>20000</v>
      </c>
      <c r="K21" s="79">
        <v>20000</v>
      </c>
      <c r="L21" s="79">
        <v>20000</v>
      </c>
      <c r="M21" s="79">
        <v>20000</v>
      </c>
      <c r="N21" s="79">
        <f>SUM(B21:M21)</f>
        <v>200000</v>
      </c>
    </row>
    <row r="22" spans="1:14">
      <c r="A22" s="52" t="s">
        <v>54</v>
      </c>
      <c r="B22" s="78"/>
      <c r="C22" s="79">
        <v>20000</v>
      </c>
      <c r="D22" s="79">
        <v>20000</v>
      </c>
      <c r="E22" s="79">
        <v>20000</v>
      </c>
      <c r="F22" s="79">
        <v>20000</v>
      </c>
      <c r="G22" s="79">
        <v>20000</v>
      </c>
      <c r="H22" s="79"/>
      <c r="I22" s="79">
        <v>20000</v>
      </c>
      <c r="J22" s="79">
        <v>20000</v>
      </c>
      <c r="K22" s="79">
        <v>20000</v>
      </c>
      <c r="L22" s="79">
        <v>20000</v>
      </c>
      <c r="M22" s="79">
        <v>20000</v>
      </c>
      <c r="N22" s="79">
        <f>SUM(B22:M22)</f>
        <v>200000</v>
      </c>
    </row>
    <row r="23" spans="1:14">
      <c r="A23" s="53" t="s">
        <v>81</v>
      </c>
      <c r="B23" s="78"/>
      <c r="C23" s="79">
        <f>C22*C18</f>
        <v>90000000</v>
      </c>
      <c r="D23" s="79">
        <f t="shared" ref="D23:I23" si="5">D22*D18</f>
        <v>90000000</v>
      </c>
      <c r="E23" s="79">
        <f t="shared" si="5"/>
        <v>90000000</v>
      </c>
      <c r="F23" s="79">
        <f t="shared" si="5"/>
        <v>90000000</v>
      </c>
      <c r="G23" s="79">
        <f t="shared" si="5"/>
        <v>90000000</v>
      </c>
      <c r="H23" s="79"/>
      <c r="I23" s="79">
        <f t="shared" si="5"/>
        <v>90000000</v>
      </c>
      <c r="J23" s="79">
        <f t="shared" ref="J23" si="6">J22*J18</f>
        <v>90000000</v>
      </c>
      <c r="K23" s="79">
        <f t="shared" ref="K23" si="7">K22*K18</f>
        <v>90000000</v>
      </c>
      <c r="L23" s="79">
        <f t="shared" ref="L23" si="8">L22*L18</f>
        <v>90000000</v>
      </c>
      <c r="M23" s="79">
        <f t="shared" ref="M23" si="9">M22*M18</f>
        <v>90000000</v>
      </c>
      <c r="N23" s="79">
        <f>SUM(B23:M23)</f>
        <v>900000000</v>
      </c>
    </row>
    <row r="24" spans="1:14">
      <c r="A24" s="54" t="s">
        <v>82</v>
      </c>
      <c r="B24" s="78"/>
      <c r="C24" s="79">
        <f>C23</f>
        <v>90000000</v>
      </c>
      <c r="D24" s="79">
        <f t="shared" ref="D24:M24" si="10">D23</f>
        <v>90000000</v>
      </c>
      <c r="E24" s="79">
        <f t="shared" si="10"/>
        <v>90000000</v>
      </c>
      <c r="F24" s="79">
        <f t="shared" si="10"/>
        <v>90000000</v>
      </c>
      <c r="G24" s="79">
        <f t="shared" si="10"/>
        <v>90000000</v>
      </c>
      <c r="H24" s="79">
        <f t="shared" si="10"/>
        <v>0</v>
      </c>
      <c r="I24" s="79">
        <f t="shared" si="10"/>
        <v>90000000</v>
      </c>
      <c r="J24" s="79">
        <f t="shared" si="10"/>
        <v>90000000</v>
      </c>
      <c r="K24" s="79">
        <f t="shared" si="10"/>
        <v>90000000</v>
      </c>
      <c r="L24" s="79">
        <f t="shared" si="10"/>
        <v>90000000</v>
      </c>
      <c r="M24" s="79">
        <f t="shared" si="10"/>
        <v>90000000</v>
      </c>
      <c r="N24" s="79">
        <f>SUM(B24:M24)</f>
        <v>900000000</v>
      </c>
    </row>
    <row r="25" spans="1:14">
      <c r="A25" s="77" t="s">
        <v>83</v>
      </c>
      <c r="B25" s="300" t="s">
        <v>86</v>
      </c>
      <c r="C25" s="301"/>
      <c r="D25" s="301"/>
      <c r="E25" s="301"/>
      <c r="F25" s="301"/>
      <c r="G25" s="302"/>
      <c r="H25" s="300" t="s">
        <v>86</v>
      </c>
      <c r="I25" s="301"/>
      <c r="J25" s="301"/>
      <c r="K25" s="301"/>
      <c r="L25" s="301"/>
      <c r="M25" s="302"/>
      <c r="N25" s="77"/>
    </row>
    <row r="26" spans="1:14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>
      <c r="A27" s="292" t="s">
        <v>51</v>
      </c>
      <c r="B27" s="295">
        <f>B3+2</f>
        <v>3</v>
      </c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7"/>
    </row>
    <row r="28" spans="1:14">
      <c r="A28" s="293"/>
      <c r="B28" s="295" t="s">
        <v>52</v>
      </c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7"/>
      <c r="N28" s="298" t="s">
        <v>53</v>
      </c>
    </row>
    <row r="29" spans="1:14">
      <c r="A29" s="294"/>
      <c r="B29" s="76">
        <v>1</v>
      </c>
      <c r="C29" s="76">
        <v>2</v>
      </c>
      <c r="D29" s="76">
        <v>3</v>
      </c>
      <c r="E29" s="76">
        <v>4</v>
      </c>
      <c r="F29" s="76">
        <v>5</v>
      </c>
      <c r="G29" s="76">
        <v>6</v>
      </c>
      <c r="H29" s="76">
        <v>7</v>
      </c>
      <c r="I29" s="76">
        <v>8</v>
      </c>
      <c r="J29" s="76">
        <v>9</v>
      </c>
      <c r="K29" s="76">
        <v>10</v>
      </c>
      <c r="L29" s="76">
        <v>11</v>
      </c>
      <c r="M29" s="76">
        <v>12</v>
      </c>
      <c r="N29" s="299"/>
    </row>
    <row r="30" spans="1:14">
      <c r="A30" s="52" t="s">
        <v>78</v>
      </c>
      <c r="B30" s="224"/>
      <c r="C30" s="224">
        <v>4000</v>
      </c>
      <c r="D30" s="224">
        <v>4000</v>
      </c>
      <c r="E30" s="224">
        <v>4000</v>
      </c>
      <c r="F30" s="224">
        <v>4000</v>
      </c>
      <c r="G30" s="224">
        <v>4000</v>
      </c>
      <c r="H30" s="224"/>
      <c r="I30" s="224">
        <v>4000</v>
      </c>
      <c r="J30" s="224">
        <v>4000</v>
      </c>
      <c r="K30" s="224">
        <v>4000</v>
      </c>
      <c r="L30" s="224">
        <v>4000</v>
      </c>
      <c r="M30" s="224">
        <v>4000</v>
      </c>
      <c r="N30" s="79"/>
    </row>
    <row r="31" spans="1:14">
      <c r="A31" s="53" t="s">
        <v>79</v>
      </c>
      <c r="B31" s="79"/>
      <c r="C31" s="79">
        <f>СКпроизв!G19</f>
        <v>2227.0140143999997</v>
      </c>
      <c r="D31" s="79">
        <f>СКпроизв!G19</f>
        <v>2227.0140143999997</v>
      </c>
      <c r="E31" s="79">
        <f>СКпроизв!G19</f>
        <v>2227.0140143999997</v>
      </c>
      <c r="F31" s="79">
        <f>СКпроизв!G19</f>
        <v>2227.0140143999997</v>
      </c>
      <c r="G31" s="79">
        <f>СКпроизв!G19</f>
        <v>2227.0140143999997</v>
      </c>
      <c r="H31" s="79"/>
      <c r="I31" s="79">
        <f>СКпроизв!G19</f>
        <v>2227.0140143999997</v>
      </c>
      <c r="J31" s="79">
        <f>СКпроизв!G19</f>
        <v>2227.0140143999997</v>
      </c>
      <c r="K31" s="79">
        <f>СКпроизв!G19</f>
        <v>2227.0140143999997</v>
      </c>
      <c r="L31" s="79">
        <f>СКпроизв!G19</f>
        <v>2227.0140143999997</v>
      </c>
      <c r="M31" s="79">
        <f>СКпроизв!G19</f>
        <v>2227.0140143999997</v>
      </c>
      <c r="N31" s="79"/>
    </row>
    <row r="32" spans="1:14">
      <c r="A32" s="53" t="s">
        <v>80</v>
      </c>
      <c r="B32" s="79"/>
      <c r="C32" s="79">
        <f>SUM('Ден поток'!K9:L26)/SUM(B33:G33)*1000</f>
        <v>2878.6983975313601</v>
      </c>
      <c r="D32" s="79">
        <f>SUM('Ден поток'!K9:L26)/SUM(B33:G33)*1000</f>
        <v>2878.6983975313601</v>
      </c>
      <c r="E32" s="79">
        <f>SUM('Ден поток'!K9:L26)/SUM(B33:G33)*1000</f>
        <v>2878.6983975313601</v>
      </c>
      <c r="F32" s="79">
        <f>SUM('Ден поток'!K9:L26)/SUM(B33:G33)*1000</f>
        <v>2878.6983975313601</v>
      </c>
      <c r="G32" s="79">
        <f>SUM('Ден поток'!K9:L26)/SUM(B33:G33)*1000</f>
        <v>2878.6983975313601</v>
      </c>
      <c r="H32" s="79"/>
      <c r="I32" s="79">
        <f>SUM('Ден поток'!M9:N26)/SUM(H33:M33)*1000</f>
        <v>3319.0767751348553</v>
      </c>
      <c r="J32" s="79">
        <f>SUM('Ден поток'!M9:N26)/SUM(H33:M33)*1000</f>
        <v>3319.0767751348553</v>
      </c>
      <c r="K32" s="79">
        <f>SUM('Ден поток'!M9:N26)/SUM(H33:M33)*1000</f>
        <v>3319.0767751348553</v>
      </c>
      <c r="L32" s="79">
        <f>SUM('Ден поток'!M9:N26)/SUM(H33:M33)*1000</f>
        <v>3319.0767751348553</v>
      </c>
      <c r="M32" s="79">
        <f>SUM('Ден поток'!M9:N26)/SUM(H33:M33)*1000</f>
        <v>3319.0767751348553</v>
      </c>
      <c r="N32" s="79"/>
    </row>
    <row r="33" spans="1:14">
      <c r="A33" s="52" t="s">
        <v>55</v>
      </c>
      <c r="B33" s="79"/>
      <c r="C33" s="79">
        <v>20000</v>
      </c>
      <c r="D33" s="79">
        <v>20000</v>
      </c>
      <c r="E33" s="79">
        <v>20000</v>
      </c>
      <c r="F33" s="79">
        <v>20000</v>
      </c>
      <c r="G33" s="79">
        <v>20000</v>
      </c>
      <c r="H33" s="79"/>
      <c r="I33" s="79">
        <v>20000</v>
      </c>
      <c r="J33" s="79">
        <v>20000</v>
      </c>
      <c r="K33" s="79">
        <v>20000</v>
      </c>
      <c r="L33" s="79">
        <v>20000</v>
      </c>
      <c r="M33" s="79">
        <v>20000</v>
      </c>
      <c r="N33" s="79">
        <f>SUM(B33:M33)</f>
        <v>200000</v>
      </c>
    </row>
    <row r="34" spans="1:14">
      <c r="A34" s="52" t="s">
        <v>54</v>
      </c>
      <c r="B34" s="79"/>
      <c r="C34" s="79">
        <v>20000</v>
      </c>
      <c r="D34" s="79">
        <v>20000</v>
      </c>
      <c r="E34" s="79">
        <v>20000</v>
      </c>
      <c r="F34" s="79">
        <v>20000</v>
      </c>
      <c r="G34" s="79">
        <v>20000</v>
      </c>
      <c r="H34" s="79"/>
      <c r="I34" s="79">
        <v>20000</v>
      </c>
      <c r="J34" s="79">
        <v>20000</v>
      </c>
      <c r="K34" s="79">
        <v>20000</v>
      </c>
      <c r="L34" s="79">
        <v>20000</v>
      </c>
      <c r="M34" s="79">
        <v>20000</v>
      </c>
      <c r="N34" s="79">
        <f>SUM(B34:M34)</f>
        <v>200000</v>
      </c>
    </row>
    <row r="35" spans="1:14">
      <c r="A35" s="53" t="s">
        <v>81</v>
      </c>
      <c r="B35" s="79"/>
      <c r="C35" s="79">
        <f>C34*C30</f>
        <v>80000000</v>
      </c>
      <c r="D35" s="79">
        <f t="shared" ref="D35:G35" si="11">D34*D30</f>
        <v>80000000</v>
      </c>
      <c r="E35" s="79">
        <f t="shared" si="11"/>
        <v>80000000</v>
      </c>
      <c r="F35" s="79">
        <f t="shared" si="11"/>
        <v>80000000</v>
      </c>
      <c r="G35" s="79">
        <f t="shared" si="11"/>
        <v>80000000</v>
      </c>
      <c r="H35" s="79"/>
      <c r="I35" s="79">
        <f>I34*I30</f>
        <v>80000000</v>
      </c>
      <c r="J35" s="79">
        <f t="shared" ref="J35:M35" si="12">J34*J30</f>
        <v>80000000</v>
      </c>
      <c r="K35" s="79">
        <f t="shared" si="12"/>
        <v>80000000</v>
      </c>
      <c r="L35" s="79">
        <f t="shared" si="12"/>
        <v>80000000</v>
      </c>
      <c r="M35" s="79">
        <f t="shared" si="12"/>
        <v>80000000</v>
      </c>
      <c r="N35" s="79">
        <f>SUM(B35:M35)</f>
        <v>800000000</v>
      </c>
    </row>
    <row r="36" spans="1:14">
      <c r="A36" s="54" t="s">
        <v>82</v>
      </c>
      <c r="B36" s="79"/>
      <c r="C36" s="79">
        <f>C35</f>
        <v>80000000</v>
      </c>
      <c r="D36" s="79">
        <f t="shared" ref="D36:G36" si="13">D35</f>
        <v>80000000</v>
      </c>
      <c r="E36" s="79">
        <f t="shared" si="13"/>
        <v>80000000</v>
      </c>
      <c r="F36" s="79">
        <f t="shared" si="13"/>
        <v>80000000</v>
      </c>
      <c r="G36" s="79">
        <f t="shared" si="13"/>
        <v>80000000</v>
      </c>
      <c r="H36" s="79"/>
      <c r="I36" s="79">
        <f>I35</f>
        <v>80000000</v>
      </c>
      <c r="J36" s="79">
        <f t="shared" ref="J36:M36" si="14">J35</f>
        <v>80000000</v>
      </c>
      <c r="K36" s="79">
        <f t="shared" si="14"/>
        <v>80000000</v>
      </c>
      <c r="L36" s="79">
        <f t="shared" si="14"/>
        <v>80000000</v>
      </c>
      <c r="M36" s="79">
        <f t="shared" si="14"/>
        <v>80000000</v>
      </c>
      <c r="N36" s="79">
        <f>SUM(B36:M36)</f>
        <v>800000000</v>
      </c>
    </row>
    <row r="37" spans="1:14">
      <c r="A37" s="77" t="s">
        <v>83</v>
      </c>
      <c r="B37" s="300" t="s">
        <v>86</v>
      </c>
      <c r="C37" s="301"/>
      <c r="D37" s="301"/>
      <c r="E37" s="301"/>
      <c r="F37" s="301"/>
      <c r="G37" s="302"/>
      <c r="H37" s="300" t="s">
        <v>86</v>
      </c>
      <c r="I37" s="301"/>
      <c r="J37" s="301"/>
      <c r="K37" s="301"/>
      <c r="L37" s="301"/>
      <c r="M37" s="302"/>
      <c r="N37" s="77"/>
    </row>
  </sheetData>
  <mergeCells count="18">
    <mergeCell ref="B37:G37"/>
    <mergeCell ref="H37:M37"/>
    <mergeCell ref="N28:N29"/>
    <mergeCell ref="B4:M4"/>
    <mergeCell ref="B16:M16"/>
    <mergeCell ref="B28:M28"/>
    <mergeCell ref="B13:G13"/>
    <mergeCell ref="H13:M13"/>
    <mergeCell ref="B25:G25"/>
    <mergeCell ref="H25:M25"/>
    <mergeCell ref="A27:A29"/>
    <mergeCell ref="B27:N27"/>
    <mergeCell ref="N16:N17"/>
    <mergeCell ref="N4:N5"/>
    <mergeCell ref="A15:A17"/>
    <mergeCell ref="B15:N15"/>
    <mergeCell ref="A3:A5"/>
    <mergeCell ref="B3:N3"/>
  </mergeCells>
  <pageMargins left="0.7" right="0.7" top="0.75" bottom="0.75" header="0.3" footer="0.3"/>
  <ignoredErrors>
    <ignoredError sqref="I32:M32 I2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2450-8CF4-154F-9E4B-6958413B2E64}">
  <sheetPr>
    <tabColor rgb="FF00B050"/>
  </sheetPr>
  <dimension ref="A1:AO110"/>
  <sheetViews>
    <sheetView topLeftCell="B1" workbookViewId="0">
      <selection activeCell="L62" sqref="L62"/>
    </sheetView>
  </sheetViews>
  <sheetFormatPr baseColWidth="10" defaultRowHeight="15"/>
  <cols>
    <col min="1" max="1" width="10.83203125" style="138"/>
    <col min="3" max="3" width="48.33203125" customWidth="1"/>
    <col min="4" max="4" width="17.1640625" style="134" customWidth="1"/>
    <col min="17" max="41" width="10.83203125" style="138"/>
  </cols>
  <sheetData>
    <row r="1" spans="1:41" ht="16">
      <c r="B1" s="167" t="s">
        <v>248</v>
      </c>
    </row>
    <row r="4" spans="1:41" ht="76" customHeight="1">
      <c r="B4" s="308" t="s">
        <v>171</v>
      </c>
      <c r="C4" s="309"/>
      <c r="D4" s="310"/>
      <c r="E4" s="306" t="s">
        <v>172</v>
      </c>
      <c r="F4" s="307"/>
      <c r="G4" s="306" t="s">
        <v>173</v>
      </c>
      <c r="H4" s="307"/>
      <c r="I4" s="306" t="s">
        <v>174</v>
      </c>
      <c r="J4" s="307"/>
      <c r="K4" s="306" t="s">
        <v>174</v>
      </c>
      <c r="L4" s="307"/>
      <c r="M4" s="306" t="s">
        <v>174</v>
      </c>
      <c r="N4" s="307"/>
      <c r="O4" s="306" t="s">
        <v>174</v>
      </c>
      <c r="P4" s="307"/>
    </row>
    <row r="5" spans="1:41" ht="16" thickBot="1">
      <c r="B5" s="92"/>
      <c r="C5" s="93"/>
      <c r="D5" s="135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1:41" ht="16" thickBot="1">
      <c r="B6" s="311" t="s">
        <v>87</v>
      </c>
      <c r="C6" s="313" t="s">
        <v>214</v>
      </c>
      <c r="D6" s="313" t="s">
        <v>227</v>
      </c>
      <c r="E6" s="315" t="s">
        <v>228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6"/>
    </row>
    <row r="7" spans="1:41" ht="16" thickBot="1">
      <c r="B7" s="312"/>
      <c r="C7" s="314"/>
      <c r="D7" s="314"/>
      <c r="E7" s="173">
        <v>1</v>
      </c>
      <c r="F7" s="173">
        <v>2</v>
      </c>
      <c r="G7" s="173">
        <v>3</v>
      </c>
      <c r="H7" s="173">
        <v>4</v>
      </c>
      <c r="I7" s="174">
        <v>5</v>
      </c>
      <c r="J7" s="174">
        <v>6</v>
      </c>
      <c r="K7" s="174">
        <v>7</v>
      </c>
      <c r="L7" s="174">
        <v>8</v>
      </c>
      <c r="M7" s="175">
        <v>9</v>
      </c>
      <c r="N7" s="175">
        <v>10</v>
      </c>
      <c r="O7" s="175">
        <v>11</v>
      </c>
      <c r="P7" s="176">
        <v>12</v>
      </c>
    </row>
    <row r="8" spans="1:41" ht="15" customHeight="1">
      <c r="B8" s="303" t="s">
        <v>215</v>
      </c>
      <c r="C8" s="177"/>
      <c r="D8" s="178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80"/>
    </row>
    <row r="9" spans="1:41" s="1" customFormat="1">
      <c r="A9" s="138"/>
      <c r="B9" s="304"/>
      <c r="C9" s="181" t="s">
        <v>217</v>
      </c>
      <c r="D9" s="168"/>
      <c r="E9" s="142">
        <f>SUM(E11:E14)</f>
        <v>30</v>
      </c>
      <c r="F9" s="142">
        <f t="shared" ref="F9:P9" si="0">SUM(F11:F14)</f>
        <v>0</v>
      </c>
      <c r="G9" s="142">
        <f t="shared" si="0"/>
        <v>160</v>
      </c>
      <c r="H9" s="142">
        <f t="shared" si="0"/>
        <v>0</v>
      </c>
      <c r="I9" s="142">
        <f t="shared" si="0"/>
        <v>2210</v>
      </c>
      <c r="J9" s="142">
        <f t="shared" si="0"/>
        <v>0</v>
      </c>
      <c r="K9" s="142">
        <f t="shared" si="0"/>
        <v>0</v>
      </c>
      <c r="L9" s="142">
        <f t="shared" si="0"/>
        <v>0</v>
      </c>
      <c r="M9" s="142">
        <f t="shared" si="0"/>
        <v>0</v>
      </c>
      <c r="N9" s="142">
        <f t="shared" si="0"/>
        <v>0</v>
      </c>
      <c r="O9" s="142">
        <f t="shared" si="0"/>
        <v>0</v>
      </c>
      <c r="P9" s="143">
        <f t="shared" si="0"/>
        <v>0</v>
      </c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</row>
    <row r="10" spans="1:41">
      <c r="B10" s="304"/>
      <c r="C10" s="163"/>
      <c r="D10" s="16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40"/>
    </row>
    <row r="11" spans="1:41" s="137" customFormat="1">
      <c r="A11" s="138"/>
      <c r="B11" s="304"/>
      <c r="C11" s="182" t="s">
        <v>237</v>
      </c>
      <c r="D11" s="170">
        <v>80</v>
      </c>
      <c r="E11" s="144"/>
      <c r="F11" s="144"/>
      <c r="G11" s="144">
        <f>D11</f>
        <v>80</v>
      </c>
      <c r="H11" s="144"/>
      <c r="I11" s="144">
        <f>2*D11</f>
        <v>160</v>
      </c>
      <c r="J11" s="144"/>
      <c r="K11" s="144"/>
      <c r="L11" s="144"/>
      <c r="M11" s="144"/>
      <c r="N11" s="144"/>
      <c r="O11" s="144"/>
      <c r="P11" s="145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</row>
    <row r="12" spans="1:41" s="137" customFormat="1">
      <c r="A12" s="138"/>
      <c r="B12" s="304"/>
      <c r="C12" s="182" t="s">
        <v>235</v>
      </c>
      <c r="D12" s="170">
        <v>50</v>
      </c>
      <c r="E12" s="144"/>
      <c r="F12" s="144"/>
      <c r="G12" s="144">
        <f>D12</f>
        <v>50</v>
      </c>
      <c r="H12" s="144"/>
      <c r="I12" s="144">
        <f>D12</f>
        <v>50</v>
      </c>
      <c r="J12" s="144"/>
      <c r="K12" s="144"/>
      <c r="L12" s="144"/>
      <c r="M12" s="144"/>
      <c r="N12" s="144"/>
      <c r="O12" s="144"/>
      <c r="P12" s="145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</row>
    <row r="13" spans="1:41" s="137" customFormat="1">
      <c r="A13" s="138"/>
      <c r="B13" s="304"/>
      <c r="C13" s="182" t="s">
        <v>485</v>
      </c>
      <c r="D13" s="170">
        <v>30</v>
      </c>
      <c r="E13" s="144">
        <f>D13</f>
        <v>30</v>
      </c>
      <c r="F13" s="144"/>
      <c r="G13" s="144">
        <f>D13</f>
        <v>30</v>
      </c>
      <c r="H13" s="144"/>
      <c r="I13" s="144"/>
      <c r="J13" s="144"/>
      <c r="K13" s="144"/>
      <c r="L13" s="144"/>
      <c r="M13" s="144"/>
      <c r="N13" s="144"/>
      <c r="O13" s="144"/>
      <c r="P13" s="145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</row>
    <row r="14" spans="1:41" s="137" customFormat="1">
      <c r="A14" s="138"/>
      <c r="B14" s="304"/>
      <c r="C14" s="182" t="s">
        <v>238</v>
      </c>
      <c r="D14" s="170">
        <v>2000</v>
      </c>
      <c r="E14" s="144"/>
      <c r="F14" s="144"/>
      <c r="G14" s="144"/>
      <c r="H14" s="144"/>
      <c r="I14" s="144">
        <v>2000</v>
      </c>
      <c r="J14" s="144"/>
      <c r="K14" s="144"/>
      <c r="L14" s="144"/>
      <c r="M14" s="144"/>
      <c r="N14" s="144"/>
      <c r="O14" s="144"/>
      <c r="P14" s="145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</row>
    <row r="15" spans="1:41">
      <c r="B15" s="304"/>
      <c r="C15" s="163"/>
      <c r="D15" s="16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40"/>
    </row>
    <row r="16" spans="1:41" s="136" customFormat="1">
      <c r="A16" s="138"/>
      <c r="B16" s="304"/>
      <c r="C16" s="181" t="s">
        <v>219</v>
      </c>
      <c r="D16" s="168"/>
      <c r="E16" s="142">
        <f>E18+E22+E26+E34+E43+E47+E51</f>
        <v>0</v>
      </c>
      <c r="F16" s="142">
        <f t="shared" ref="F16:P16" si="1">F18+F26+F34+F43+F47+F51</f>
        <v>0</v>
      </c>
      <c r="G16" s="142">
        <f t="shared" si="1"/>
        <v>1480</v>
      </c>
      <c r="H16" s="142">
        <f t="shared" si="1"/>
        <v>0</v>
      </c>
      <c r="I16" s="142">
        <f t="shared" si="1"/>
        <v>100</v>
      </c>
      <c r="J16" s="142">
        <f t="shared" si="1"/>
        <v>0</v>
      </c>
      <c r="K16" s="142">
        <f t="shared" si="1"/>
        <v>0</v>
      </c>
      <c r="L16" s="142">
        <f t="shared" si="1"/>
        <v>0</v>
      </c>
      <c r="M16" s="142">
        <f t="shared" si="1"/>
        <v>50</v>
      </c>
      <c r="N16" s="142">
        <f t="shared" si="1"/>
        <v>0</v>
      </c>
      <c r="O16" s="142">
        <f t="shared" si="1"/>
        <v>0</v>
      </c>
      <c r="P16" s="143">
        <f t="shared" si="1"/>
        <v>0</v>
      </c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</row>
    <row r="17" spans="1:41" s="138" customFormat="1">
      <c r="B17" s="304"/>
      <c r="C17" s="183"/>
      <c r="D17" s="171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7"/>
    </row>
    <row r="18" spans="1:41" s="137" customFormat="1">
      <c r="A18" s="138"/>
      <c r="B18" s="304"/>
      <c r="C18" s="182" t="str">
        <f>'Кадры, ставки ЗП'!A4</f>
        <v>CEO Генеральный директор</v>
      </c>
      <c r="D18" s="170">
        <f>SUM(D19:D20)</f>
        <v>70</v>
      </c>
      <c r="E18" s="144"/>
      <c r="F18" s="144"/>
      <c r="G18" s="144">
        <f>1*D18</f>
        <v>70</v>
      </c>
      <c r="H18" s="144"/>
      <c r="I18" s="144"/>
      <c r="J18" s="144"/>
      <c r="K18" s="144"/>
      <c r="L18" s="144"/>
      <c r="M18" s="144"/>
      <c r="N18" s="144"/>
      <c r="O18" s="144"/>
      <c r="P18" s="145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</row>
    <row r="19" spans="1:41">
      <c r="B19" s="304"/>
      <c r="C19" s="184" t="s">
        <v>236</v>
      </c>
      <c r="D19" s="169">
        <v>50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40"/>
    </row>
    <row r="20" spans="1:41">
      <c r="B20" s="304"/>
      <c r="C20" s="184" t="s">
        <v>225</v>
      </c>
      <c r="D20" s="169">
        <v>20</v>
      </c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40"/>
    </row>
    <row r="21" spans="1:41">
      <c r="B21" s="304"/>
      <c r="C21" s="184"/>
      <c r="D21" s="16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40"/>
    </row>
    <row r="22" spans="1:41">
      <c r="B22" s="304"/>
      <c r="C22" s="182" t="str">
        <f>'Кадры, ставки ЗП'!A6</f>
        <v>Начальник производства</v>
      </c>
      <c r="D22" s="170">
        <f>SUM(D23:D24)</f>
        <v>120</v>
      </c>
      <c r="E22" s="144"/>
      <c r="F22" s="144"/>
      <c r="G22" s="144"/>
      <c r="H22" s="144"/>
      <c r="I22" s="144">
        <f>D22</f>
        <v>120</v>
      </c>
      <c r="J22" s="144"/>
      <c r="K22" s="144"/>
      <c r="L22" s="144"/>
      <c r="M22" s="144"/>
      <c r="N22" s="144"/>
      <c r="O22" s="144"/>
      <c r="P22" s="145"/>
    </row>
    <row r="23" spans="1:41">
      <c r="B23" s="304"/>
      <c r="C23" s="184" t="s">
        <v>220</v>
      </c>
      <c r="D23" s="169">
        <v>100</v>
      </c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40"/>
    </row>
    <row r="24" spans="1:41">
      <c r="B24" s="304"/>
      <c r="C24" s="184" t="s">
        <v>225</v>
      </c>
      <c r="D24" s="169">
        <v>20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</row>
    <row r="25" spans="1:41">
      <c r="B25" s="304"/>
      <c r="C25" s="163"/>
      <c r="D25" s="16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</row>
    <row r="26" spans="1:41" s="137" customFormat="1">
      <c r="A26" s="138"/>
      <c r="B26" s="304"/>
      <c r="C26" s="182" t="str">
        <f>'Кадры, ставки ЗП'!A7</f>
        <v>Инженер-сборщик (производство)</v>
      </c>
      <c r="D26" s="170">
        <f>SUM(D27:D32)</f>
        <v>85</v>
      </c>
      <c r="E26" s="144"/>
      <c r="F26" s="144"/>
      <c r="G26" s="144">
        <f>4*D26</f>
        <v>340</v>
      </c>
      <c r="H26" s="144"/>
      <c r="I26" s="144"/>
      <c r="J26" s="144"/>
      <c r="K26" s="144"/>
      <c r="L26" s="144"/>
      <c r="M26" s="144"/>
      <c r="N26" s="144"/>
      <c r="O26" s="144"/>
      <c r="P26" s="145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</row>
    <row r="27" spans="1:41">
      <c r="B27" s="304"/>
      <c r="C27" s="184" t="s">
        <v>236</v>
      </c>
      <c r="D27" s="169">
        <v>30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40"/>
    </row>
    <row r="28" spans="1:41">
      <c r="B28" s="304"/>
      <c r="C28" s="184" t="s">
        <v>221</v>
      </c>
      <c r="D28" s="169">
        <v>10</v>
      </c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40"/>
    </row>
    <row r="29" spans="1:41">
      <c r="B29" s="304"/>
      <c r="C29" s="184" t="s">
        <v>223</v>
      </c>
      <c r="D29" s="169">
        <v>3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40"/>
    </row>
    <row r="30" spans="1:41">
      <c r="B30" s="304"/>
      <c r="C30" s="184" t="s">
        <v>224</v>
      </c>
      <c r="D30" s="169">
        <v>2</v>
      </c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40"/>
    </row>
    <row r="31" spans="1:41">
      <c r="B31" s="304"/>
      <c r="C31" s="184" t="s">
        <v>225</v>
      </c>
      <c r="D31" s="169">
        <v>20</v>
      </c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40"/>
    </row>
    <row r="32" spans="1:41">
      <c r="B32" s="304"/>
      <c r="C32" s="184" t="s">
        <v>226</v>
      </c>
      <c r="D32" s="169">
        <v>20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40"/>
    </row>
    <row r="33" spans="1:41">
      <c r="B33" s="304"/>
      <c r="C33" s="163"/>
      <c r="D33" s="16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40"/>
    </row>
    <row r="34" spans="1:41" s="137" customFormat="1">
      <c r="A34" s="138"/>
      <c r="B34" s="304"/>
      <c r="C34" s="182" t="str">
        <f>'Кадры, ставки ЗП'!A8</f>
        <v>Инженер-разработчик (R&amp;D)</v>
      </c>
      <c r="D34" s="170">
        <f>SUM(D35:D41)</f>
        <v>460</v>
      </c>
      <c r="E34" s="144">
        <v>0</v>
      </c>
      <c r="F34" s="144"/>
      <c r="G34" s="389">
        <f>2*D34</f>
        <v>920</v>
      </c>
      <c r="H34" s="144"/>
      <c r="I34" s="144"/>
      <c r="J34" s="144"/>
      <c r="K34" s="144"/>
      <c r="L34" s="144"/>
      <c r="M34" s="144"/>
      <c r="N34" s="144"/>
      <c r="O34" s="144"/>
      <c r="P34" s="145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</row>
    <row r="35" spans="1:41">
      <c r="B35" s="304"/>
      <c r="C35" s="184" t="s">
        <v>220</v>
      </c>
      <c r="D35" s="169">
        <v>100</v>
      </c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</row>
    <row r="36" spans="1:41">
      <c r="B36" s="304"/>
      <c r="C36" s="184" t="s">
        <v>221</v>
      </c>
      <c r="D36" s="169">
        <v>100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40"/>
    </row>
    <row r="37" spans="1:41">
      <c r="B37" s="304"/>
      <c r="C37" s="184" t="s">
        <v>222</v>
      </c>
      <c r="D37" s="169">
        <v>200</v>
      </c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  <row r="38" spans="1:41">
      <c r="B38" s="304"/>
      <c r="C38" s="184" t="s">
        <v>223</v>
      </c>
      <c r="D38" s="169">
        <v>10</v>
      </c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40"/>
    </row>
    <row r="39" spans="1:41">
      <c r="B39" s="304"/>
      <c r="C39" s="184" t="s">
        <v>224</v>
      </c>
      <c r="D39" s="169">
        <v>10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40"/>
    </row>
    <row r="40" spans="1:41">
      <c r="B40" s="304"/>
      <c r="C40" s="184" t="s">
        <v>225</v>
      </c>
      <c r="D40" s="169">
        <v>20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40"/>
    </row>
    <row r="41" spans="1:41">
      <c r="B41" s="304"/>
      <c r="C41" s="184" t="s">
        <v>226</v>
      </c>
      <c r="D41" s="169">
        <v>20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40"/>
    </row>
    <row r="42" spans="1:41">
      <c r="B42" s="304"/>
      <c r="C42" s="185"/>
      <c r="D42" s="16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</row>
    <row r="43" spans="1:41" s="137" customFormat="1">
      <c r="A43" s="138"/>
      <c r="B43" s="304"/>
      <c r="C43" s="186" t="str">
        <f>'Кадры, ставки ЗП'!A12</f>
        <v>PR-менеджер</v>
      </c>
      <c r="D43" s="170">
        <f>SUM(D44:D45)</f>
        <v>50</v>
      </c>
      <c r="E43" s="144"/>
      <c r="F43" s="144"/>
      <c r="G43" s="144">
        <f>1*D43</f>
        <v>50</v>
      </c>
      <c r="H43" s="144"/>
      <c r="I43" s="144"/>
      <c r="J43" s="144"/>
      <c r="K43" s="144"/>
      <c r="L43" s="144"/>
      <c r="M43" s="144"/>
      <c r="N43" s="144"/>
      <c r="O43" s="144"/>
      <c r="P43" s="145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</row>
    <row r="44" spans="1:41">
      <c r="B44" s="304"/>
      <c r="C44" s="184" t="s">
        <v>236</v>
      </c>
      <c r="D44" s="169">
        <v>30</v>
      </c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</row>
    <row r="45" spans="1:41">
      <c r="B45" s="304"/>
      <c r="C45" s="184" t="s">
        <v>225</v>
      </c>
      <c r="D45" s="169">
        <v>20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40"/>
    </row>
    <row r="46" spans="1:41">
      <c r="B46" s="304"/>
      <c r="C46" s="185"/>
      <c r="D46" s="16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40"/>
    </row>
    <row r="47" spans="1:41" s="137" customFormat="1">
      <c r="A47" s="138"/>
      <c r="B47" s="304"/>
      <c r="C47" s="186" t="str">
        <f>'Кадры, ставки ЗП'!A14</f>
        <v>Менеджер (отдел продаж)</v>
      </c>
      <c r="D47" s="170">
        <f>SUM(D48:D49)</f>
        <v>50</v>
      </c>
      <c r="E47" s="144"/>
      <c r="F47" s="144"/>
      <c r="G47" s="144">
        <f>1*D47</f>
        <v>50</v>
      </c>
      <c r="H47" s="144"/>
      <c r="I47" s="144">
        <f>1*D47</f>
        <v>50</v>
      </c>
      <c r="J47" s="144"/>
      <c r="K47" s="144"/>
      <c r="L47" s="144"/>
      <c r="M47" s="144"/>
      <c r="N47" s="144"/>
      <c r="O47" s="144"/>
      <c r="P47" s="145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</row>
    <row r="48" spans="1:41">
      <c r="B48" s="304"/>
      <c r="C48" s="184" t="s">
        <v>236</v>
      </c>
      <c r="D48" s="169">
        <v>30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40"/>
    </row>
    <row r="49" spans="1:41">
      <c r="B49" s="304"/>
      <c r="C49" s="184" t="s">
        <v>225</v>
      </c>
      <c r="D49" s="169">
        <v>20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1:41">
      <c r="B50" s="304"/>
      <c r="C50" s="185"/>
      <c r="D50" s="16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40"/>
    </row>
    <row r="51" spans="1:41" s="137" customFormat="1">
      <c r="A51" s="138"/>
      <c r="B51" s="304"/>
      <c r="C51" s="186" t="s">
        <v>244</v>
      </c>
      <c r="D51" s="170">
        <f>SUM(D52:D53)</f>
        <v>50</v>
      </c>
      <c r="E51" s="144"/>
      <c r="F51" s="144"/>
      <c r="G51" s="144">
        <f>1*D51</f>
        <v>50</v>
      </c>
      <c r="H51" s="144"/>
      <c r="I51" s="144">
        <f>1*D51</f>
        <v>50</v>
      </c>
      <c r="J51" s="144"/>
      <c r="K51" s="144"/>
      <c r="L51" s="144"/>
      <c r="M51" s="144">
        <f>D51*1</f>
        <v>50</v>
      </c>
      <c r="N51" s="144"/>
      <c r="O51" s="144"/>
      <c r="P51" s="145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</row>
    <row r="52" spans="1:41">
      <c r="B52" s="304"/>
      <c r="C52" s="184" t="s">
        <v>236</v>
      </c>
      <c r="D52" s="169">
        <v>30</v>
      </c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40"/>
    </row>
    <row r="53" spans="1:41">
      <c r="B53" s="304"/>
      <c r="C53" s="184" t="s">
        <v>225</v>
      </c>
      <c r="D53" s="169">
        <v>20</v>
      </c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1:41">
      <c r="B54" s="304"/>
      <c r="C54" s="185"/>
      <c r="D54" s="16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1:41">
      <c r="B55" s="304"/>
      <c r="C55" s="163"/>
      <c r="D55" s="16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40"/>
    </row>
    <row r="56" spans="1:41" s="1" customFormat="1">
      <c r="A56" s="138"/>
      <c r="B56" s="304"/>
      <c r="C56" s="181" t="s">
        <v>245</v>
      </c>
      <c r="D56" s="168"/>
      <c r="E56" s="141">
        <f t="shared" ref="E56:P56" si="2">SUM(E58:E61)</f>
        <v>0</v>
      </c>
      <c r="F56" s="141">
        <f t="shared" si="2"/>
        <v>0</v>
      </c>
      <c r="G56" s="141">
        <f t="shared" si="2"/>
        <v>0</v>
      </c>
      <c r="H56" s="141">
        <f t="shared" si="2"/>
        <v>0</v>
      </c>
      <c r="I56" s="141">
        <f t="shared" si="2"/>
        <v>1000</v>
      </c>
      <c r="J56" s="141">
        <f t="shared" si="2"/>
        <v>0</v>
      </c>
      <c r="K56" s="141">
        <f t="shared" si="2"/>
        <v>0</v>
      </c>
      <c r="L56" s="141">
        <f t="shared" si="2"/>
        <v>0</v>
      </c>
      <c r="M56" s="141">
        <f t="shared" si="2"/>
        <v>3000</v>
      </c>
      <c r="N56" s="141">
        <f t="shared" si="2"/>
        <v>0</v>
      </c>
      <c r="O56" s="141">
        <f t="shared" si="2"/>
        <v>0</v>
      </c>
      <c r="P56" s="149">
        <f t="shared" si="2"/>
        <v>0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</row>
    <row r="57" spans="1:41" s="138" customFormat="1">
      <c r="B57" s="304"/>
      <c r="C57" s="183"/>
      <c r="D57" s="171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7"/>
    </row>
    <row r="58" spans="1:41" s="137" customFormat="1">
      <c r="A58" s="138"/>
      <c r="B58" s="304"/>
      <c r="C58" s="182" t="s">
        <v>231</v>
      </c>
      <c r="D58" s="170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5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</row>
    <row r="59" spans="1:41" s="137" customFormat="1">
      <c r="A59" s="138"/>
      <c r="B59" s="304"/>
      <c r="C59" s="182" t="s">
        <v>232</v>
      </c>
      <c r="D59" s="170"/>
      <c r="E59" s="144"/>
      <c r="F59" s="144"/>
      <c r="G59" s="144"/>
      <c r="H59" s="144"/>
      <c r="I59" s="144"/>
      <c r="J59" s="144"/>
      <c r="K59" s="144"/>
      <c r="L59" s="144"/>
      <c r="M59" s="144">
        <v>2000</v>
      </c>
      <c r="N59" s="144"/>
      <c r="O59" s="144"/>
      <c r="P59" s="145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</row>
    <row r="60" spans="1:41" s="137" customFormat="1">
      <c r="A60" s="138"/>
      <c r="B60" s="304"/>
      <c r="C60" s="182" t="s">
        <v>233</v>
      </c>
      <c r="D60" s="170"/>
      <c r="E60" s="144"/>
      <c r="F60" s="144"/>
      <c r="G60" s="144"/>
      <c r="H60" s="144"/>
      <c r="I60" s="144"/>
      <c r="J60" s="144"/>
      <c r="K60" s="144"/>
      <c r="L60" s="144"/>
      <c r="M60" s="144">
        <v>1000</v>
      </c>
      <c r="N60" s="144"/>
      <c r="O60" s="144"/>
      <c r="P60" s="145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</row>
    <row r="61" spans="1:41" s="137" customFormat="1">
      <c r="A61" s="138"/>
      <c r="B61" s="304"/>
      <c r="C61" s="182" t="s">
        <v>234</v>
      </c>
      <c r="D61" s="170"/>
      <c r="E61" s="144"/>
      <c r="F61" s="144"/>
      <c r="G61" s="144"/>
      <c r="H61" s="144"/>
      <c r="I61" s="144">
        <v>1000</v>
      </c>
      <c r="J61" s="144"/>
      <c r="K61" s="144"/>
      <c r="L61" s="144"/>
      <c r="M61" s="144"/>
      <c r="N61" s="144"/>
      <c r="O61" s="144"/>
      <c r="P61" s="145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</row>
    <row r="62" spans="1:41" s="137" customFormat="1">
      <c r="A62" s="138"/>
      <c r="B62" s="304"/>
      <c r="C62" s="187"/>
      <c r="D62" s="171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7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</row>
    <row r="63" spans="1:41" s="137" customFormat="1">
      <c r="A63" s="138"/>
      <c r="B63" s="304"/>
      <c r="C63" s="188" t="s">
        <v>246</v>
      </c>
      <c r="D63" s="172"/>
      <c r="E63" s="150">
        <f>E9+E16+E56</f>
        <v>30</v>
      </c>
      <c r="F63" s="150">
        <f t="shared" ref="F63:P63" si="3">F9+F16+F56</f>
        <v>0</v>
      </c>
      <c r="G63" s="150">
        <f t="shared" si="3"/>
        <v>1640</v>
      </c>
      <c r="H63" s="150">
        <f t="shared" si="3"/>
        <v>0</v>
      </c>
      <c r="I63" s="150">
        <f t="shared" si="3"/>
        <v>3310</v>
      </c>
      <c r="J63" s="150">
        <f t="shared" si="3"/>
        <v>0</v>
      </c>
      <c r="K63" s="150">
        <f t="shared" si="3"/>
        <v>0</v>
      </c>
      <c r="L63" s="150">
        <f t="shared" si="3"/>
        <v>0</v>
      </c>
      <c r="M63" s="150">
        <f t="shared" si="3"/>
        <v>3050</v>
      </c>
      <c r="N63" s="150">
        <f t="shared" si="3"/>
        <v>0</v>
      </c>
      <c r="O63" s="150">
        <f t="shared" si="3"/>
        <v>0</v>
      </c>
      <c r="P63" s="151">
        <f t="shared" si="3"/>
        <v>0</v>
      </c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</row>
    <row r="64" spans="1:41" ht="16" thickBot="1">
      <c r="B64" s="305"/>
      <c r="C64" s="164"/>
      <c r="D64" s="189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8"/>
    </row>
    <row r="65" spans="2:16" ht="15" customHeight="1">
      <c r="B65" s="303" t="s">
        <v>216</v>
      </c>
      <c r="C65" s="157" t="s">
        <v>217</v>
      </c>
      <c r="D65" s="190"/>
      <c r="E65" s="158">
        <f>SUM(E67:E71)</f>
        <v>400</v>
      </c>
      <c r="F65" s="158">
        <f t="shared" ref="F65:P65" si="4">SUM(F67:F71)</f>
        <v>450</v>
      </c>
      <c r="G65" s="158">
        <f t="shared" si="4"/>
        <v>2650</v>
      </c>
      <c r="H65" s="158">
        <f t="shared" si="4"/>
        <v>800</v>
      </c>
      <c r="I65" s="158">
        <f t="shared" si="4"/>
        <v>2000</v>
      </c>
      <c r="J65" s="158">
        <f t="shared" si="4"/>
        <v>450</v>
      </c>
      <c r="K65" s="158">
        <f t="shared" si="4"/>
        <v>2000</v>
      </c>
      <c r="L65" s="158">
        <f t="shared" si="4"/>
        <v>0</v>
      </c>
      <c r="M65" s="158">
        <f t="shared" si="4"/>
        <v>20000</v>
      </c>
      <c r="N65" s="158">
        <f t="shared" si="4"/>
        <v>1350</v>
      </c>
      <c r="O65" s="158">
        <f t="shared" si="4"/>
        <v>0</v>
      </c>
      <c r="P65" s="159">
        <f t="shared" si="4"/>
        <v>0</v>
      </c>
    </row>
    <row r="66" spans="2:16" ht="15" customHeight="1">
      <c r="B66" s="304"/>
      <c r="C66" s="139"/>
      <c r="D66" s="16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40"/>
    </row>
    <row r="67" spans="2:16">
      <c r="B67" s="304"/>
      <c r="C67" s="153" t="s">
        <v>230</v>
      </c>
      <c r="D67" s="191">
        <v>200</v>
      </c>
      <c r="E67" s="154"/>
      <c r="F67" s="154"/>
      <c r="G67" s="154">
        <f>1*D67</f>
        <v>200</v>
      </c>
      <c r="H67" s="154"/>
      <c r="I67" s="154"/>
      <c r="J67" s="154"/>
      <c r="K67" s="154"/>
      <c r="L67" s="154"/>
      <c r="M67" s="154"/>
      <c r="N67" s="154"/>
      <c r="O67" s="154"/>
      <c r="P67" s="155"/>
    </row>
    <row r="68" spans="2:16">
      <c r="B68" s="304"/>
      <c r="C68" s="153" t="s">
        <v>239</v>
      </c>
      <c r="D68" s="191">
        <v>400</v>
      </c>
      <c r="E68" s="154"/>
      <c r="F68" s="154">
        <f>1*D68</f>
        <v>400</v>
      </c>
      <c r="G68" s="154">
        <f>2*D68</f>
        <v>800</v>
      </c>
      <c r="H68" s="154"/>
      <c r="I68" s="154"/>
      <c r="J68" s="154">
        <f>1*D68</f>
        <v>400</v>
      </c>
      <c r="K68" s="154"/>
      <c r="L68" s="154"/>
      <c r="M68" s="154"/>
      <c r="N68" s="154">
        <f>3*D68</f>
        <v>1200</v>
      </c>
      <c r="O68" s="154"/>
      <c r="P68" s="155"/>
    </row>
    <row r="69" spans="2:16">
      <c r="B69" s="304"/>
      <c r="C69" s="153" t="s">
        <v>240</v>
      </c>
      <c r="D69" s="191">
        <v>50</v>
      </c>
      <c r="E69" s="154"/>
      <c r="F69" s="154">
        <f>1*D69</f>
        <v>50</v>
      </c>
      <c r="G69" s="154">
        <f>1*D69</f>
        <v>50</v>
      </c>
      <c r="H69" s="154"/>
      <c r="I69" s="154"/>
      <c r="J69" s="154">
        <f>1*D69</f>
        <v>50</v>
      </c>
      <c r="K69" s="154"/>
      <c r="L69" s="154"/>
      <c r="M69" s="154"/>
      <c r="N69" s="154">
        <f>3*D69</f>
        <v>150</v>
      </c>
      <c r="O69" s="154"/>
      <c r="P69" s="155"/>
    </row>
    <row r="70" spans="2:16">
      <c r="B70" s="304"/>
      <c r="C70" s="153" t="s">
        <v>486</v>
      </c>
      <c r="D70" s="191">
        <v>200</v>
      </c>
      <c r="E70" s="154">
        <f>2*D70</f>
        <v>400</v>
      </c>
      <c r="F70" s="154"/>
      <c r="G70" s="154">
        <f>8*D70</f>
        <v>1600</v>
      </c>
      <c r="H70" s="154">
        <f>4*D70</f>
        <v>800</v>
      </c>
      <c r="I70" s="154">
        <f>D70*10</f>
        <v>2000</v>
      </c>
      <c r="J70" s="154"/>
      <c r="K70" s="154">
        <f>10*D70</f>
        <v>2000</v>
      </c>
      <c r="L70" s="154"/>
      <c r="M70" s="154">
        <f>100*D70</f>
        <v>20000</v>
      </c>
      <c r="N70" s="154"/>
      <c r="O70" s="154"/>
      <c r="P70" s="155"/>
    </row>
    <row r="71" spans="2:16">
      <c r="B71" s="304"/>
      <c r="C71" s="156"/>
      <c r="D71" s="16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40"/>
    </row>
    <row r="72" spans="2:16">
      <c r="B72" s="304"/>
      <c r="C72" s="139"/>
      <c r="D72" s="16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40"/>
    </row>
    <row r="73" spans="2:16">
      <c r="B73" s="304"/>
      <c r="C73" s="157" t="s">
        <v>219</v>
      </c>
      <c r="D73" s="192"/>
      <c r="E73" s="158">
        <f>E75+E79+E83+E87+E91+E95+E99</f>
        <v>70</v>
      </c>
      <c r="F73" s="158">
        <f t="shared" ref="F73:P73" si="5">F75+F79+F83+F87+F91+F95+F99</f>
        <v>0</v>
      </c>
      <c r="G73" s="158">
        <f t="shared" si="5"/>
        <v>580</v>
      </c>
      <c r="H73" s="158">
        <f t="shared" si="5"/>
        <v>0</v>
      </c>
      <c r="I73" s="158">
        <f t="shared" si="5"/>
        <v>270</v>
      </c>
      <c r="J73" s="158">
        <f t="shared" si="5"/>
        <v>0</v>
      </c>
      <c r="K73" s="158">
        <f t="shared" si="5"/>
        <v>0</v>
      </c>
      <c r="L73" s="158">
        <f t="shared" si="5"/>
        <v>0</v>
      </c>
      <c r="M73" s="158">
        <f t="shared" si="5"/>
        <v>360</v>
      </c>
      <c r="N73" s="158">
        <f t="shared" si="5"/>
        <v>0</v>
      </c>
      <c r="O73" s="158">
        <f t="shared" si="5"/>
        <v>0</v>
      </c>
      <c r="P73" s="159">
        <f t="shared" si="5"/>
        <v>0</v>
      </c>
    </row>
    <row r="74" spans="2:16">
      <c r="B74" s="304"/>
      <c r="C74" s="139"/>
      <c r="D74" s="16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40"/>
    </row>
    <row r="75" spans="2:16">
      <c r="B75" s="304"/>
      <c r="C75" s="153" t="str">
        <f>'Кадры, ставки ЗП'!A5</f>
        <v>CCO Исполнительный директор/руководитель проекта</v>
      </c>
      <c r="D75" s="191">
        <f>SUM(D76:D77)</f>
        <v>70</v>
      </c>
      <c r="E75" s="154">
        <f>1*D75</f>
        <v>70</v>
      </c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5"/>
    </row>
    <row r="76" spans="2:16">
      <c r="B76" s="304"/>
      <c r="C76" s="148" t="s">
        <v>236</v>
      </c>
      <c r="D76" s="169">
        <v>50</v>
      </c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40"/>
    </row>
    <row r="77" spans="2:16">
      <c r="B77" s="304"/>
      <c r="C77" s="148" t="s">
        <v>225</v>
      </c>
      <c r="D77" s="169">
        <v>20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40"/>
    </row>
    <row r="78" spans="2:16">
      <c r="B78" s="304"/>
      <c r="C78" s="156"/>
      <c r="D78" s="16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40"/>
    </row>
    <row r="79" spans="2:16">
      <c r="B79" s="304"/>
      <c r="C79" s="153" t="str">
        <f>'Кадры, ставки ЗП'!A9</f>
        <v>Руководитель сервиса</v>
      </c>
      <c r="D79" s="191">
        <f>SUM(D80:D81)</f>
        <v>120</v>
      </c>
      <c r="E79" s="154"/>
      <c r="F79" s="154"/>
      <c r="G79" s="154">
        <f>1*D79</f>
        <v>120</v>
      </c>
      <c r="H79" s="154"/>
      <c r="I79" s="154"/>
      <c r="J79" s="154"/>
      <c r="K79" s="154"/>
      <c r="L79" s="154"/>
      <c r="M79" s="154"/>
      <c r="N79" s="154"/>
      <c r="O79" s="154"/>
      <c r="P79" s="155"/>
    </row>
    <row r="80" spans="2:16">
      <c r="B80" s="304"/>
      <c r="C80" s="148" t="s">
        <v>220</v>
      </c>
      <c r="D80" s="169">
        <v>100</v>
      </c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40"/>
    </row>
    <row r="81" spans="2:16">
      <c r="B81" s="304"/>
      <c r="C81" s="148" t="s">
        <v>225</v>
      </c>
      <c r="D81" s="169">
        <v>20</v>
      </c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40"/>
    </row>
    <row r="82" spans="2:16">
      <c r="B82" s="304"/>
      <c r="C82" s="148"/>
      <c r="D82" s="16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40"/>
    </row>
    <row r="83" spans="2:16">
      <c r="B83" s="304"/>
      <c r="C83" s="160" t="str">
        <f>'Кадры, ставки ЗП'!A10</f>
        <v>Программист / team leader</v>
      </c>
      <c r="D83" s="191">
        <f>SUM(D84:D85)</f>
        <v>120</v>
      </c>
      <c r="E83" s="154"/>
      <c r="F83" s="154"/>
      <c r="G83" s="154">
        <f>2*D83</f>
        <v>240</v>
      </c>
      <c r="H83" s="154"/>
      <c r="I83" s="154"/>
      <c r="J83" s="154"/>
      <c r="K83" s="154"/>
      <c r="L83" s="154"/>
      <c r="M83" s="154">
        <f>2*D83</f>
        <v>240</v>
      </c>
      <c r="N83" s="154"/>
      <c r="O83" s="154"/>
      <c r="P83" s="155"/>
    </row>
    <row r="84" spans="2:16">
      <c r="B84" s="304"/>
      <c r="C84" s="148" t="s">
        <v>220</v>
      </c>
      <c r="D84" s="169">
        <v>100</v>
      </c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40"/>
    </row>
    <row r="85" spans="2:16">
      <c r="B85" s="304"/>
      <c r="C85" s="148" t="s">
        <v>225</v>
      </c>
      <c r="D85" s="169">
        <v>20</v>
      </c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40"/>
    </row>
    <row r="86" spans="2:16">
      <c r="B86" s="304"/>
      <c r="C86" s="148"/>
      <c r="D86" s="16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40"/>
    </row>
    <row r="87" spans="2:16">
      <c r="B87" s="304"/>
      <c r="C87" s="153" t="s">
        <v>229</v>
      </c>
      <c r="D87" s="191">
        <f>SUM(D88:D89)</f>
        <v>120</v>
      </c>
      <c r="E87" s="154"/>
      <c r="F87" s="154"/>
      <c r="G87" s="154">
        <f>1*D87</f>
        <v>120</v>
      </c>
      <c r="H87" s="154"/>
      <c r="I87" s="154">
        <f>1*D87</f>
        <v>120</v>
      </c>
      <c r="J87" s="154"/>
      <c r="K87" s="154"/>
      <c r="L87" s="154"/>
      <c r="M87" s="154">
        <f>1*D87</f>
        <v>120</v>
      </c>
      <c r="N87" s="154"/>
      <c r="O87" s="154"/>
      <c r="P87" s="155"/>
    </row>
    <row r="88" spans="2:16">
      <c r="B88" s="304"/>
      <c r="C88" s="148" t="s">
        <v>220</v>
      </c>
      <c r="D88" s="169">
        <v>100</v>
      </c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40"/>
    </row>
    <row r="89" spans="2:16">
      <c r="B89" s="304"/>
      <c r="C89" s="148" t="s">
        <v>225</v>
      </c>
      <c r="D89" s="169">
        <v>20</v>
      </c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40"/>
    </row>
    <row r="90" spans="2:16">
      <c r="B90" s="304"/>
      <c r="C90" s="139"/>
      <c r="D90" s="16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40"/>
    </row>
    <row r="91" spans="2:16">
      <c r="B91" s="304"/>
      <c r="C91" s="153" t="str">
        <f>'Кадры, ставки ЗП'!A11</f>
        <v>Администратор/секретарь</v>
      </c>
      <c r="D91" s="191">
        <f>SUM(D92:D93)</f>
        <v>50</v>
      </c>
      <c r="E91" s="154"/>
      <c r="F91" s="154"/>
      <c r="G91" s="154">
        <f>1*D91</f>
        <v>50</v>
      </c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>
      <c r="B92" s="304"/>
      <c r="C92" s="148" t="s">
        <v>236</v>
      </c>
      <c r="D92" s="169">
        <v>30</v>
      </c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>
      <c r="B93" s="304"/>
      <c r="C93" s="148" t="s">
        <v>225</v>
      </c>
      <c r="D93" s="169">
        <v>20</v>
      </c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>
      <c r="B94" s="304"/>
      <c r="C94" s="139"/>
      <c r="D94" s="16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>
      <c r="B95" s="304"/>
      <c r="C95" s="153" t="str">
        <f>'Кадры, ставки ЗП'!A13</f>
        <v>Начальник отдела продаж</v>
      </c>
      <c r="D95" s="191">
        <f>SUM(D96:D97)</f>
        <v>50</v>
      </c>
      <c r="E95" s="154"/>
      <c r="F95" s="154"/>
      <c r="G95" s="154">
        <f>1*D95</f>
        <v>50</v>
      </c>
      <c r="H95" s="154"/>
      <c r="I95" s="154"/>
      <c r="J95" s="154"/>
      <c r="K95" s="154"/>
      <c r="L95" s="154"/>
      <c r="M95" s="154"/>
      <c r="N95" s="154"/>
      <c r="O95" s="154"/>
      <c r="P95" s="155"/>
    </row>
    <row r="96" spans="2:16">
      <c r="B96" s="304"/>
      <c r="C96" s="148" t="s">
        <v>236</v>
      </c>
      <c r="D96" s="169">
        <v>30</v>
      </c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>
      <c r="B97" s="304"/>
      <c r="C97" s="148" t="s">
        <v>225</v>
      </c>
      <c r="D97" s="169">
        <v>20</v>
      </c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>
      <c r="B98" s="304"/>
      <c r="C98" s="139"/>
      <c r="D98" s="16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>
      <c r="B99" s="304"/>
      <c r="C99" s="153" t="str">
        <f>'Кадры, ставки ЗП'!A14</f>
        <v>Менеджер (отдел продаж)</v>
      </c>
      <c r="D99" s="191">
        <f>SUM(D100:D101)</f>
        <v>50</v>
      </c>
      <c r="E99" s="154"/>
      <c r="F99" s="154"/>
      <c r="G99" s="154"/>
      <c r="H99" s="154"/>
      <c r="I99" s="154">
        <f>3*D99</f>
        <v>150</v>
      </c>
      <c r="J99" s="154"/>
      <c r="K99" s="154"/>
      <c r="L99" s="154"/>
      <c r="M99" s="154"/>
      <c r="N99" s="154"/>
      <c r="O99" s="154"/>
      <c r="P99" s="155"/>
    </row>
    <row r="100" spans="2:16">
      <c r="B100" s="304"/>
      <c r="C100" s="148" t="s">
        <v>236</v>
      </c>
      <c r="D100" s="169">
        <v>30</v>
      </c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40"/>
    </row>
    <row r="101" spans="2:16">
      <c r="B101" s="304"/>
      <c r="C101" s="148" t="s">
        <v>225</v>
      </c>
      <c r="D101" s="169">
        <v>20</v>
      </c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40"/>
    </row>
    <row r="102" spans="2:16">
      <c r="B102" s="304"/>
      <c r="C102" s="139"/>
      <c r="D102" s="16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40"/>
    </row>
    <row r="103" spans="2:16">
      <c r="B103" s="304"/>
      <c r="C103" s="139"/>
      <c r="D103" s="16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40"/>
    </row>
    <row r="104" spans="2:16">
      <c r="B104" s="304"/>
      <c r="C104" s="161" t="s">
        <v>218</v>
      </c>
      <c r="D104" s="193"/>
      <c r="E104" s="161">
        <f>SUM(E106:E108)</f>
        <v>0</v>
      </c>
      <c r="F104" s="161">
        <f t="shared" ref="F104:P104" si="6">SUM(F106:F108)</f>
        <v>0</v>
      </c>
      <c r="G104" s="161">
        <f t="shared" si="6"/>
        <v>0</v>
      </c>
      <c r="H104" s="161">
        <f t="shared" si="6"/>
        <v>1040</v>
      </c>
      <c r="I104" s="161">
        <f t="shared" si="6"/>
        <v>0</v>
      </c>
      <c r="J104" s="161">
        <f t="shared" si="6"/>
        <v>0</v>
      </c>
      <c r="K104" s="161">
        <f t="shared" si="6"/>
        <v>0</v>
      </c>
      <c r="L104" s="161">
        <f t="shared" si="6"/>
        <v>0</v>
      </c>
      <c r="M104" s="161">
        <f t="shared" si="6"/>
        <v>6000</v>
      </c>
      <c r="N104" s="161">
        <f t="shared" si="6"/>
        <v>0</v>
      </c>
      <c r="O104" s="161">
        <f t="shared" si="6"/>
        <v>0</v>
      </c>
      <c r="P104" s="162">
        <f t="shared" si="6"/>
        <v>0</v>
      </c>
    </row>
    <row r="105" spans="2:16" s="138" customFormat="1">
      <c r="B105" s="304"/>
      <c r="C105" s="146"/>
      <c r="D105" s="171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7"/>
    </row>
    <row r="106" spans="2:16">
      <c r="B106" s="304"/>
      <c r="C106" s="153" t="s">
        <v>241</v>
      </c>
      <c r="D106" s="191"/>
      <c r="E106" s="154"/>
      <c r="F106" s="154"/>
      <c r="G106" s="154"/>
      <c r="H106" s="154"/>
      <c r="I106" s="154"/>
      <c r="J106" s="154"/>
      <c r="K106" s="154"/>
      <c r="L106" s="154"/>
      <c r="M106" s="154">
        <v>4000</v>
      </c>
      <c r="N106" s="154"/>
      <c r="O106" s="154"/>
      <c r="P106" s="155"/>
    </row>
    <row r="107" spans="2:16">
      <c r="B107" s="304"/>
      <c r="C107" s="153" t="s">
        <v>242</v>
      </c>
      <c r="D107" s="191"/>
      <c r="E107" s="154"/>
      <c r="F107" s="154"/>
      <c r="G107" s="154"/>
      <c r="H107" s="154"/>
      <c r="I107" s="154"/>
      <c r="J107" s="154"/>
      <c r="K107" s="154"/>
      <c r="L107" s="154"/>
      <c r="M107" s="154">
        <v>2000</v>
      </c>
      <c r="N107" s="154"/>
      <c r="O107" s="154"/>
      <c r="P107" s="155"/>
    </row>
    <row r="108" spans="2:16">
      <c r="B108" s="304"/>
      <c r="C108" s="153" t="s">
        <v>243</v>
      </c>
      <c r="D108" s="191"/>
      <c r="E108" s="154"/>
      <c r="F108" s="154"/>
      <c r="G108" s="154"/>
      <c r="H108" s="154">
        <v>1040</v>
      </c>
      <c r="I108" s="154"/>
      <c r="J108" s="154"/>
      <c r="K108" s="154"/>
      <c r="L108" s="154"/>
      <c r="M108" s="154"/>
      <c r="N108" s="154"/>
      <c r="O108" s="154"/>
      <c r="P108" s="155"/>
    </row>
    <row r="109" spans="2:16">
      <c r="B109" s="304"/>
      <c r="C109" s="139"/>
      <c r="D109" s="16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40"/>
    </row>
    <row r="110" spans="2:16" ht="16" thickBot="1">
      <c r="B110" s="305"/>
      <c r="C110" s="165" t="s">
        <v>247</v>
      </c>
      <c r="D110" s="194"/>
      <c r="E110" s="165">
        <f>E65+E73+E104</f>
        <v>470</v>
      </c>
      <c r="F110" s="165">
        <f t="shared" ref="F110:P110" si="7">F65+F73+F104</f>
        <v>450</v>
      </c>
      <c r="G110" s="165">
        <f t="shared" si="7"/>
        <v>3230</v>
      </c>
      <c r="H110" s="165">
        <f t="shared" si="7"/>
        <v>1840</v>
      </c>
      <c r="I110" s="165">
        <f t="shared" si="7"/>
        <v>2270</v>
      </c>
      <c r="J110" s="165">
        <f t="shared" si="7"/>
        <v>450</v>
      </c>
      <c r="K110" s="165">
        <f t="shared" si="7"/>
        <v>2000</v>
      </c>
      <c r="L110" s="165">
        <f t="shared" si="7"/>
        <v>0</v>
      </c>
      <c r="M110" s="165">
        <f t="shared" si="7"/>
        <v>26360</v>
      </c>
      <c r="N110" s="165">
        <f t="shared" si="7"/>
        <v>1350</v>
      </c>
      <c r="O110" s="165">
        <f t="shared" si="7"/>
        <v>0</v>
      </c>
      <c r="P110" s="166">
        <f t="shared" si="7"/>
        <v>0</v>
      </c>
    </row>
  </sheetData>
  <mergeCells count="13">
    <mergeCell ref="O4:P4"/>
    <mergeCell ref="B6:B7"/>
    <mergeCell ref="C6:C7"/>
    <mergeCell ref="E6:P6"/>
    <mergeCell ref="B8:B64"/>
    <mergeCell ref="D6:D7"/>
    <mergeCell ref="M4:N4"/>
    <mergeCell ref="B65:B110"/>
    <mergeCell ref="E4:F4"/>
    <mergeCell ref="G4:H4"/>
    <mergeCell ref="I4:J4"/>
    <mergeCell ref="K4:L4"/>
    <mergeCell ref="B4:D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Содержание</vt:lpstr>
      <vt:lpstr>Revenue&amp;costs услуга</vt:lpstr>
      <vt:lpstr>Total услуга</vt:lpstr>
      <vt:lpstr>КПуслуга</vt:lpstr>
      <vt:lpstr>Компл</vt:lpstr>
      <vt:lpstr>СКпроизв</vt:lpstr>
      <vt:lpstr>КПпроизв</vt:lpstr>
      <vt:lpstr>План производства</vt:lpstr>
      <vt:lpstr>Движение ОС</vt:lpstr>
      <vt:lpstr>Ден поток</vt:lpstr>
      <vt:lpstr>Индексы Инв</vt:lpstr>
      <vt:lpstr>Кадры, ставки ЗП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2019-12-15T12:23:37Z</cp:lastPrinted>
  <dcterms:created xsi:type="dcterms:W3CDTF">2006-09-16T00:00:00Z</dcterms:created>
  <dcterms:modified xsi:type="dcterms:W3CDTF">2020-06-23T14:18:51Z</dcterms:modified>
</cp:coreProperties>
</file>