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theme/themeOverride5.xml" ContentType="application/vnd.openxmlformats-officedocument.themeOverride+xml"/>
  <Override PartName="/xl/charts/chart13.xml" ContentType="application/vnd.openxmlformats-officedocument.drawingml.chart+xml"/>
  <Override PartName="/xl/theme/themeOverride6.xml" ContentType="application/vnd.openxmlformats-officedocument.themeOverrid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drawings/drawing14.xml" ContentType="application/vnd.openxmlformats-officedocument.drawing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0" windowWidth="16608" windowHeight="6936" tabRatio="816" activeTab="3"/>
  </bookViews>
  <sheets>
    <sheet name="Содержание" sheetId="23" r:id="rId1"/>
    <sheet name="Лист4" sheetId="31" state="hidden" r:id="rId2"/>
    <sheet name="Лист2" sheetId="29" state="hidden" r:id="rId3"/>
    <sheet name="Книга допущений" sheetId="1" r:id="rId4"/>
    <sheet name="Календарный план" sheetId="32" r:id="rId5"/>
    <sheet name="Вложения" sheetId="5" r:id="rId6"/>
    <sheet name="Займы" sheetId="27" r:id="rId7"/>
    <sheet name="План продаж" sheetId="3" r:id="rId8"/>
    <sheet name="ФОТ" sheetId="9" r:id="rId9"/>
    <sheet name="Расходы" sheetId="4" r:id="rId10"/>
    <sheet name="Налоги" sheetId="22" r:id="rId11"/>
    <sheet name="ОФР" sheetId="10" r:id="rId12"/>
    <sheet name="ОДДС" sheetId="13" r:id="rId13"/>
    <sheet name="Фин.показатели" sheetId="14" r:id="rId14"/>
    <sheet name="Риски" sheetId="16" r:id="rId15"/>
    <sheet name="Модуль_Оснащение" sheetId="33" r:id="rId16"/>
  </sheets>
  <calcPr calcId="144525"/>
</workbook>
</file>

<file path=xl/calcChain.xml><?xml version="1.0" encoding="utf-8"?>
<calcChain xmlns="http://schemas.openxmlformats.org/spreadsheetml/2006/main">
  <c r="B45" i="10" l="1"/>
  <c r="C16" i="10" l="1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S16" i="10"/>
  <c r="BT16" i="10"/>
  <c r="BU16" i="10"/>
  <c r="BV16" i="10"/>
  <c r="BW16" i="10"/>
  <c r="BX16" i="10"/>
  <c r="B16" i="10"/>
  <c r="L34" i="9"/>
  <c r="M34" i="9"/>
  <c r="L35" i="9"/>
  <c r="M35" i="9"/>
  <c r="L36" i="9"/>
  <c r="M36" i="9"/>
  <c r="L37" i="9"/>
  <c r="L33" i="9" s="1"/>
  <c r="L52" i="9" s="1"/>
  <c r="M37" i="9"/>
  <c r="L39" i="9"/>
  <c r="L38" i="9" s="1"/>
  <c r="M39" i="9"/>
  <c r="M38" i="9" s="1"/>
  <c r="L40" i="9"/>
  <c r="M40" i="9"/>
  <c r="L41" i="9"/>
  <c r="M41" i="9"/>
  <c r="L42" i="9"/>
  <c r="M42" i="9"/>
  <c r="L44" i="9"/>
  <c r="M44" i="9"/>
  <c r="L45" i="9"/>
  <c r="L43" i="9" s="1"/>
  <c r="M45" i="9"/>
  <c r="M43" i="9" s="1"/>
  <c r="L46" i="9"/>
  <c r="M46" i="9"/>
  <c r="L47" i="9"/>
  <c r="M47" i="9"/>
  <c r="L49" i="9"/>
  <c r="L48" i="9" s="1"/>
  <c r="M49" i="9"/>
  <c r="M48" i="9" s="1"/>
  <c r="L50" i="9"/>
  <c r="M50" i="9"/>
  <c r="L51" i="9"/>
  <c r="M51" i="9"/>
  <c r="K34" i="9"/>
  <c r="K35" i="9"/>
  <c r="K36" i="9"/>
  <c r="K37" i="9"/>
  <c r="K33" i="9" s="1"/>
  <c r="K39" i="9"/>
  <c r="K38" i="9" s="1"/>
  <c r="K40" i="9"/>
  <c r="K41" i="9"/>
  <c r="K42" i="9"/>
  <c r="K43" i="9"/>
  <c r="K44" i="9"/>
  <c r="K48" i="9"/>
  <c r="J34" i="9"/>
  <c r="J35" i="9"/>
  <c r="J36" i="9"/>
  <c r="J38" i="9"/>
  <c r="J43" i="9"/>
  <c r="J48" i="9"/>
  <c r="K142" i="1"/>
  <c r="L142" i="1" s="1"/>
  <c r="M142" i="1" s="1"/>
  <c r="N27" i="32"/>
  <c r="N67" i="1"/>
  <c r="M67" i="1"/>
  <c r="L67" i="1"/>
  <c r="I12" i="32"/>
  <c r="T20" i="27"/>
  <c r="T27" i="13" s="1"/>
  <c r="S20" i="27"/>
  <c r="S27" i="13" s="1"/>
  <c r="C27" i="13"/>
  <c r="D27" i="13"/>
  <c r="D26" i="13" s="1"/>
  <c r="E27" i="13"/>
  <c r="E26" i="13" s="1"/>
  <c r="F27" i="13"/>
  <c r="G27" i="13"/>
  <c r="H27" i="13"/>
  <c r="H26" i="13" s="1"/>
  <c r="I27" i="13"/>
  <c r="J27" i="13"/>
  <c r="K27" i="13"/>
  <c r="L27" i="13"/>
  <c r="M27" i="13"/>
  <c r="M26" i="13" s="1"/>
  <c r="N27" i="13"/>
  <c r="O27" i="13"/>
  <c r="O26" i="13" s="1"/>
  <c r="P27" i="13"/>
  <c r="BH27" i="13"/>
  <c r="BI27" i="13"/>
  <c r="BJ27" i="13"/>
  <c r="BK27" i="13"/>
  <c r="BL27" i="13"/>
  <c r="BM27" i="13"/>
  <c r="BN27" i="13"/>
  <c r="BO27" i="13"/>
  <c r="BP27" i="13"/>
  <c r="BP26" i="13" s="1"/>
  <c r="BQ27" i="13"/>
  <c r="BR27" i="13"/>
  <c r="BS27" i="13"/>
  <c r="BT27" i="13"/>
  <c r="BT26" i="13" s="1"/>
  <c r="BU27" i="13"/>
  <c r="BV27" i="13"/>
  <c r="BW27" i="13"/>
  <c r="BX27" i="13"/>
  <c r="BX26" i="13" s="1"/>
  <c r="C28" i="13"/>
  <c r="D28" i="13"/>
  <c r="E28" i="13"/>
  <c r="F28" i="13"/>
  <c r="G28" i="13"/>
  <c r="H28" i="13"/>
  <c r="I28" i="13"/>
  <c r="J28" i="13"/>
  <c r="K28" i="13"/>
  <c r="L28" i="13"/>
  <c r="M28" i="13"/>
  <c r="N28" i="13"/>
  <c r="N26" i="13" s="1"/>
  <c r="O28" i="13"/>
  <c r="P28" i="13"/>
  <c r="W28" i="13"/>
  <c r="X28" i="13"/>
  <c r="AE28" i="13"/>
  <c r="AF28" i="13"/>
  <c r="AM28" i="13"/>
  <c r="AN28" i="13"/>
  <c r="AU28" i="13"/>
  <c r="AV28" i="13"/>
  <c r="BC28" i="13"/>
  <c r="BD28" i="13"/>
  <c r="BH28" i="13"/>
  <c r="BI28" i="13"/>
  <c r="BJ28" i="13"/>
  <c r="BK28" i="13"/>
  <c r="BK26" i="13" s="1"/>
  <c r="BL28" i="13"/>
  <c r="BM28" i="13"/>
  <c r="BN28" i="13"/>
  <c r="BN26" i="13" s="1"/>
  <c r="BO28" i="13"/>
  <c r="BP28" i="13"/>
  <c r="BQ28" i="13"/>
  <c r="BQ26" i="13" s="1"/>
  <c r="BR28" i="13"/>
  <c r="BS28" i="13"/>
  <c r="BS26" i="13" s="1"/>
  <c r="BT28" i="13"/>
  <c r="BU28" i="13"/>
  <c r="BU26" i="13" s="1"/>
  <c r="BV28" i="13"/>
  <c r="BW28" i="13"/>
  <c r="BX28" i="13"/>
  <c r="B28" i="13"/>
  <c r="B27" i="13"/>
  <c r="BJ26" i="13"/>
  <c r="BI26" i="13"/>
  <c r="C23" i="27"/>
  <c r="D23" i="27"/>
  <c r="E23" i="27"/>
  <c r="F23" i="27"/>
  <c r="G23" i="27"/>
  <c r="H23" i="27"/>
  <c r="I23" i="27"/>
  <c r="J23" i="27"/>
  <c r="K23" i="27"/>
  <c r="L23" i="27"/>
  <c r="M23" i="27"/>
  <c r="N23" i="27"/>
  <c r="O23" i="27"/>
  <c r="P23" i="27"/>
  <c r="Q23" i="27"/>
  <c r="Q28" i="13" s="1"/>
  <c r="R23" i="27"/>
  <c r="R28" i="13" s="1"/>
  <c r="S23" i="27"/>
  <c r="S28" i="13" s="1"/>
  <c r="T23" i="27"/>
  <c r="T28" i="13" s="1"/>
  <c r="U23" i="27"/>
  <c r="U28" i="13" s="1"/>
  <c r="V23" i="27"/>
  <c r="V28" i="13" s="1"/>
  <c r="W23" i="27"/>
  <c r="X23" i="27"/>
  <c r="Y23" i="27"/>
  <c r="Y28" i="13" s="1"/>
  <c r="Z23" i="27"/>
  <c r="Z28" i="13" s="1"/>
  <c r="AA23" i="27"/>
  <c r="AA28" i="13" s="1"/>
  <c r="AB23" i="27"/>
  <c r="AB28" i="13" s="1"/>
  <c r="AC23" i="27"/>
  <c r="AC28" i="13" s="1"/>
  <c r="AD23" i="27"/>
  <c r="AD28" i="13" s="1"/>
  <c r="AE23" i="27"/>
  <c r="AF23" i="27"/>
  <c r="AG23" i="27"/>
  <c r="AG28" i="13" s="1"/>
  <c r="AH23" i="27"/>
  <c r="AH28" i="13" s="1"/>
  <c r="AI23" i="27"/>
  <c r="AI28" i="13" s="1"/>
  <c r="AJ23" i="27"/>
  <c r="AJ28" i="13" s="1"/>
  <c r="AK23" i="27"/>
  <c r="AK28" i="13" s="1"/>
  <c r="AL23" i="27"/>
  <c r="AL28" i="13" s="1"/>
  <c r="AM23" i="27"/>
  <c r="AN23" i="27"/>
  <c r="AO23" i="27"/>
  <c r="AO28" i="13" s="1"/>
  <c r="AP23" i="27"/>
  <c r="AP28" i="13" s="1"/>
  <c r="AQ23" i="27"/>
  <c r="AQ28" i="13" s="1"/>
  <c r="AR23" i="27"/>
  <c r="AR28" i="13" s="1"/>
  <c r="AS23" i="27"/>
  <c r="AS28" i="13" s="1"/>
  <c r="AT23" i="27"/>
  <c r="AT28" i="13" s="1"/>
  <c r="AU23" i="27"/>
  <c r="AV23" i="27"/>
  <c r="AW23" i="27"/>
  <c r="AW28" i="13" s="1"/>
  <c r="AX23" i="27"/>
  <c r="AX28" i="13" s="1"/>
  <c r="AY23" i="27"/>
  <c r="AY28" i="13" s="1"/>
  <c r="AZ23" i="27"/>
  <c r="AZ28" i="13" s="1"/>
  <c r="BA23" i="27"/>
  <c r="BA28" i="13" s="1"/>
  <c r="BB23" i="27"/>
  <c r="BB28" i="13" s="1"/>
  <c r="BC23" i="27"/>
  <c r="BD23" i="27"/>
  <c r="BE23" i="27"/>
  <c r="BE28" i="13" s="1"/>
  <c r="BF23" i="27"/>
  <c r="BF28" i="13" s="1"/>
  <c r="BG23" i="27"/>
  <c r="BG28" i="13" s="1"/>
  <c r="BH23" i="27"/>
  <c r="BI23" i="27"/>
  <c r="BJ23" i="27"/>
  <c r="BK23" i="27"/>
  <c r="BL23" i="27"/>
  <c r="BM23" i="27"/>
  <c r="BN23" i="27"/>
  <c r="BO23" i="27"/>
  <c r="BP23" i="27"/>
  <c r="BQ23" i="27"/>
  <c r="BR23" i="27"/>
  <c r="BS23" i="27"/>
  <c r="BT23" i="27"/>
  <c r="BU23" i="27"/>
  <c r="BV23" i="27"/>
  <c r="BW23" i="27"/>
  <c r="BX23" i="27"/>
  <c r="B23" i="27"/>
  <c r="C20" i="27"/>
  <c r="D20" i="27"/>
  <c r="E20" i="27"/>
  <c r="F20" i="27"/>
  <c r="G20" i="27"/>
  <c r="H20" i="27"/>
  <c r="I20" i="27"/>
  <c r="J20" i="27"/>
  <c r="K20" i="27"/>
  <c r="L20" i="27"/>
  <c r="M20" i="27"/>
  <c r="N20" i="27"/>
  <c r="O20" i="27"/>
  <c r="P20" i="27"/>
  <c r="Q20" i="27"/>
  <c r="Q27" i="13" s="1"/>
  <c r="R20" i="27"/>
  <c r="R27" i="13" s="1"/>
  <c r="U20" i="27"/>
  <c r="U27" i="13" s="1"/>
  <c r="V20" i="27"/>
  <c r="V27" i="13" s="1"/>
  <c r="W20" i="27"/>
  <c r="W27" i="13" s="1"/>
  <c r="X20" i="27"/>
  <c r="X27" i="13" s="1"/>
  <c r="Y20" i="27"/>
  <c r="Y27" i="13" s="1"/>
  <c r="Z20" i="27"/>
  <c r="Z27" i="13" s="1"/>
  <c r="AA20" i="27"/>
  <c r="AA27" i="13" s="1"/>
  <c r="AB20" i="27"/>
  <c r="AB27" i="13" s="1"/>
  <c r="AC20" i="27"/>
  <c r="AC27" i="13" s="1"/>
  <c r="AD20" i="27"/>
  <c r="AD27" i="13" s="1"/>
  <c r="AE20" i="27"/>
  <c r="AE27" i="13" s="1"/>
  <c r="AF20" i="27"/>
  <c r="AF27" i="13" s="1"/>
  <c r="AG20" i="27"/>
  <c r="AG27" i="13" s="1"/>
  <c r="AH20" i="27"/>
  <c r="AH27" i="13" s="1"/>
  <c r="AI20" i="27"/>
  <c r="AI27" i="13" s="1"/>
  <c r="AJ20" i="27"/>
  <c r="AJ27" i="13" s="1"/>
  <c r="AK20" i="27"/>
  <c r="AK27" i="13" s="1"/>
  <c r="AL20" i="27"/>
  <c r="AL27" i="13" s="1"/>
  <c r="AM20" i="27"/>
  <c r="AM27" i="13" s="1"/>
  <c r="AN20" i="27"/>
  <c r="AN27" i="13" s="1"/>
  <c r="AO20" i="27"/>
  <c r="AO27" i="13" s="1"/>
  <c r="AP20" i="27"/>
  <c r="AP27" i="13" s="1"/>
  <c r="AQ20" i="27"/>
  <c r="AQ27" i="13" s="1"/>
  <c r="AR20" i="27"/>
  <c r="AR27" i="13" s="1"/>
  <c r="AS20" i="27"/>
  <c r="AS27" i="13" s="1"/>
  <c r="AT20" i="27"/>
  <c r="AT27" i="13" s="1"/>
  <c r="AU20" i="27"/>
  <c r="AU27" i="13" s="1"/>
  <c r="AV20" i="27"/>
  <c r="AV27" i="13" s="1"/>
  <c r="AW20" i="27"/>
  <c r="AW27" i="13" s="1"/>
  <c r="AX20" i="27"/>
  <c r="AX27" i="13" s="1"/>
  <c r="AY20" i="27"/>
  <c r="AY27" i="13" s="1"/>
  <c r="AZ20" i="27"/>
  <c r="AZ27" i="13" s="1"/>
  <c r="BA20" i="27"/>
  <c r="BA27" i="13" s="1"/>
  <c r="BB20" i="27"/>
  <c r="BB27" i="13" s="1"/>
  <c r="BC20" i="27"/>
  <c r="BC27" i="13" s="1"/>
  <c r="BD20" i="27"/>
  <c r="BD27" i="13" s="1"/>
  <c r="BE20" i="27"/>
  <c r="BE27" i="13" s="1"/>
  <c r="BF20" i="27"/>
  <c r="BF27" i="13" s="1"/>
  <c r="BG20" i="27"/>
  <c r="BG27" i="13" s="1"/>
  <c r="BH20" i="27"/>
  <c r="BI20" i="27"/>
  <c r="BJ20" i="27"/>
  <c r="BK20" i="27"/>
  <c r="BL20" i="27"/>
  <c r="BM20" i="27"/>
  <c r="BN20" i="27"/>
  <c r="BO20" i="27"/>
  <c r="BP20" i="27"/>
  <c r="BQ20" i="27"/>
  <c r="BR20" i="27"/>
  <c r="BS20" i="27"/>
  <c r="BT20" i="27"/>
  <c r="BU20" i="27"/>
  <c r="BV20" i="27"/>
  <c r="BW20" i="27"/>
  <c r="BX20" i="27"/>
  <c r="B20" i="27"/>
  <c r="M33" i="9" l="1"/>
  <c r="M52" i="9" s="1"/>
  <c r="K52" i="9"/>
  <c r="I26" i="13"/>
  <c r="BW26" i="13"/>
  <c r="BO26" i="13"/>
  <c r="BL26" i="13"/>
  <c r="BM26" i="13"/>
  <c r="F26" i="13"/>
  <c r="L26" i="13"/>
  <c r="BR26" i="13"/>
  <c r="K26" i="13"/>
  <c r="BH26" i="13"/>
  <c r="J26" i="13"/>
  <c r="P26" i="13"/>
  <c r="BV26" i="13"/>
  <c r="G26" i="13"/>
  <c r="C26" i="13"/>
  <c r="Z26" i="13"/>
  <c r="AK26" i="13"/>
  <c r="AZ26" i="13"/>
  <c r="R26" i="13"/>
  <c r="T26" i="13"/>
  <c r="BG26" i="13"/>
  <c r="AY26" i="13"/>
  <c r="AQ26" i="13"/>
  <c r="AI26" i="13"/>
  <c r="AA26" i="13"/>
  <c r="Q26" i="13"/>
  <c r="AH26" i="13"/>
  <c r="BE26" i="13"/>
  <c r="Y26" i="13"/>
  <c r="AN26" i="13"/>
  <c r="AX26" i="13"/>
  <c r="AW26" i="13"/>
  <c r="AU26" i="13"/>
  <c r="AE26" i="13"/>
  <c r="AG26" i="13"/>
  <c r="BB26" i="13"/>
  <c r="AT26" i="13"/>
  <c r="AL26" i="13"/>
  <c r="AD26" i="13"/>
  <c r="V26" i="13"/>
  <c r="AP26" i="13"/>
  <c r="BA26" i="13"/>
  <c r="AC26" i="13"/>
  <c r="S26" i="13"/>
  <c r="BF26" i="13"/>
  <c r="AS26" i="13"/>
  <c r="U26" i="13"/>
  <c r="AJ26" i="13"/>
  <c r="AR26" i="13"/>
  <c r="AB26" i="13"/>
  <c r="AO26" i="13"/>
  <c r="BD26" i="13"/>
  <c r="AV26" i="13"/>
  <c r="AF26" i="13"/>
  <c r="X26" i="13"/>
  <c r="BC26" i="13"/>
  <c r="AM26" i="13"/>
  <c r="W26" i="13"/>
  <c r="B26" i="13"/>
  <c r="Q73" i="1" l="1"/>
  <c r="R73" i="1"/>
  <c r="E42" i="1"/>
  <c r="E70" i="1"/>
  <c r="E69" i="1"/>
  <c r="E68" i="1"/>
  <c r="E67" i="1"/>
  <c r="E61" i="1"/>
  <c r="E62" i="1"/>
  <c r="E63" i="1"/>
  <c r="E64" i="1"/>
  <c r="E65" i="1"/>
  <c r="E60" i="1"/>
  <c r="E58" i="1"/>
  <c r="E57" i="1"/>
  <c r="E55" i="1"/>
  <c r="E54" i="1"/>
  <c r="E52" i="1"/>
  <c r="E51" i="1"/>
  <c r="E49" i="1"/>
  <c r="E48" i="1"/>
  <c r="E46" i="1"/>
  <c r="E45" i="1"/>
  <c r="C22" i="3"/>
  <c r="C23" i="3"/>
  <c r="C24" i="3"/>
  <c r="C25" i="3"/>
  <c r="C26" i="3"/>
  <c r="F73" i="5"/>
  <c r="B17" i="4" s="1"/>
  <c r="B25" i="13"/>
  <c r="F71" i="1"/>
  <c r="F66" i="1"/>
  <c r="F59" i="1"/>
  <c r="F56" i="1"/>
  <c r="F53" i="1"/>
  <c r="F50" i="1"/>
  <c r="F47" i="1"/>
  <c r="F44" i="1"/>
  <c r="F43" i="1"/>
  <c r="F76" i="1"/>
  <c r="B104" i="1"/>
  <c r="B11" i="27"/>
  <c r="B22" i="13" s="1"/>
  <c r="C14" i="27"/>
  <c r="C25" i="13" s="1"/>
  <c r="D14" i="27"/>
  <c r="D25" i="13" s="1"/>
  <c r="I73" i="5"/>
  <c r="E17" i="4" s="1"/>
  <c r="E14" i="27"/>
  <c r="E25" i="13" s="1"/>
  <c r="F14" i="27"/>
  <c r="F25" i="13" s="1"/>
  <c r="G14" i="27"/>
  <c r="G25" i="13" s="1"/>
  <c r="H14" i="27"/>
  <c r="H25" i="13" s="1"/>
  <c r="I14" i="27"/>
  <c r="I25" i="13" s="1"/>
  <c r="J14" i="27"/>
  <c r="J25" i="13" s="1"/>
  <c r="K14" i="27"/>
  <c r="K25" i="13" s="1"/>
  <c r="L14" i="27"/>
  <c r="L25" i="13" s="1"/>
  <c r="C12" i="5"/>
  <c r="C59" i="5" s="1"/>
  <c r="C14" i="5"/>
  <c r="C61" i="5" s="1"/>
  <c r="C15" i="5"/>
  <c r="C62" i="5" s="1"/>
  <c r="C17" i="5"/>
  <c r="C64" i="5" s="1"/>
  <c r="C18" i="5"/>
  <c r="C65" i="5" s="1"/>
  <c r="C19" i="5"/>
  <c r="C66" i="5" s="1"/>
  <c r="C23" i="5"/>
  <c r="C70" i="5" s="1"/>
  <c r="M14" i="27"/>
  <c r="M25" i="13" s="1"/>
  <c r="N14" i="27"/>
  <c r="N25" i="13" s="1"/>
  <c r="O14" i="27"/>
  <c r="O25" i="13" s="1"/>
  <c r="P14" i="27"/>
  <c r="P25" i="13" s="1"/>
  <c r="Q14" i="27"/>
  <c r="Q25" i="13"/>
  <c r="R14" i="27"/>
  <c r="R25" i="13" s="1"/>
  <c r="S14" i="27"/>
  <c r="S25" i="13" s="1"/>
  <c r="T14" i="27"/>
  <c r="T25" i="13" s="1"/>
  <c r="U14" i="27"/>
  <c r="U25" i="13" s="1"/>
  <c r="V14" i="27"/>
  <c r="V25" i="13" s="1"/>
  <c r="W14" i="27"/>
  <c r="W25" i="13" s="1"/>
  <c r="X14" i="27"/>
  <c r="X25" i="13" s="1"/>
  <c r="Y14" i="27"/>
  <c r="Y25" i="13" s="1"/>
  <c r="Z14" i="27"/>
  <c r="Z25" i="13" s="1"/>
  <c r="AA14" i="27"/>
  <c r="AA25" i="13"/>
  <c r="AB14" i="27"/>
  <c r="AB25" i="13" s="1"/>
  <c r="AC14" i="27"/>
  <c r="AC25" i="13" s="1"/>
  <c r="AD14" i="27"/>
  <c r="AD25" i="13"/>
  <c r="AE14" i="27"/>
  <c r="AE25" i="13" s="1"/>
  <c r="AF14" i="27"/>
  <c r="AF25" i="13" s="1"/>
  <c r="AG14" i="27"/>
  <c r="AG25" i="13" s="1"/>
  <c r="AH14" i="27"/>
  <c r="AH25" i="13" s="1"/>
  <c r="AI14" i="27"/>
  <c r="AI25" i="13" s="1"/>
  <c r="AJ14" i="27"/>
  <c r="AJ25" i="13" s="1"/>
  <c r="AK14" i="27"/>
  <c r="AK25" i="13" s="1"/>
  <c r="AL14" i="27"/>
  <c r="AL25" i="13" s="1"/>
  <c r="AM14" i="27"/>
  <c r="AM25" i="13" s="1"/>
  <c r="AN14" i="27"/>
  <c r="AN25" i="13" s="1"/>
  <c r="AO14" i="27"/>
  <c r="AO25" i="13" s="1"/>
  <c r="AP14" i="27"/>
  <c r="AP25" i="13" s="1"/>
  <c r="AQ14" i="27"/>
  <c r="AQ25" i="13" s="1"/>
  <c r="AR14" i="27"/>
  <c r="AR25" i="13" s="1"/>
  <c r="AS14" i="27"/>
  <c r="AS25" i="13" s="1"/>
  <c r="AT14" i="27"/>
  <c r="AT25" i="13" s="1"/>
  <c r="AU14" i="27"/>
  <c r="AU25" i="13" s="1"/>
  <c r="AV14" i="27"/>
  <c r="AV25" i="13" s="1"/>
  <c r="AW14" i="27"/>
  <c r="AW25" i="13" s="1"/>
  <c r="AX14" i="27"/>
  <c r="AX25" i="13" s="1"/>
  <c r="AY14" i="27"/>
  <c r="AY25" i="13" s="1"/>
  <c r="AZ14" i="27"/>
  <c r="AZ25" i="13" s="1"/>
  <c r="BA14" i="27"/>
  <c r="BA25" i="13" s="1"/>
  <c r="BB14" i="27"/>
  <c r="BB25" i="13" s="1"/>
  <c r="BC14" i="27"/>
  <c r="BC25" i="13" s="1"/>
  <c r="BD14" i="27"/>
  <c r="BD25" i="13" s="1"/>
  <c r="BE14" i="27"/>
  <c r="BE25" i="13" s="1"/>
  <c r="BF14" i="27"/>
  <c r="BF25" i="13" s="1"/>
  <c r="BG14" i="27"/>
  <c r="BG25" i="13" s="1"/>
  <c r="BH14" i="27"/>
  <c r="BH25" i="13" s="1"/>
  <c r="BI14" i="27"/>
  <c r="BI25" i="13" s="1"/>
  <c r="BJ14" i="27"/>
  <c r="BJ25" i="13" s="1"/>
  <c r="BK14" i="27"/>
  <c r="BK25" i="13" s="1"/>
  <c r="BL14" i="27"/>
  <c r="BL25" i="13" s="1"/>
  <c r="BM14" i="27"/>
  <c r="BM25" i="13" s="1"/>
  <c r="BN14" i="27"/>
  <c r="BN25" i="13" s="1"/>
  <c r="BO14" i="27"/>
  <c r="BO25" i="13" s="1"/>
  <c r="BP14" i="27"/>
  <c r="BP25" i="13" s="1"/>
  <c r="BR16" i="3"/>
  <c r="BQ14" i="27"/>
  <c r="BQ25" i="13" s="1"/>
  <c r="BS18" i="3"/>
  <c r="BR14" i="27"/>
  <c r="BR25" i="13" s="1"/>
  <c r="BS14" i="27"/>
  <c r="BS25" i="13" s="1"/>
  <c r="BT14" i="27"/>
  <c r="BT25" i="13" s="1"/>
  <c r="BU14" i="27"/>
  <c r="BU25" i="13" s="1"/>
  <c r="BV14" i="27"/>
  <c r="BV25" i="13" s="1"/>
  <c r="BW14" i="27"/>
  <c r="BW25" i="13" s="1"/>
  <c r="BY15" i="3"/>
  <c r="BX14" i="27"/>
  <c r="BX25" i="13" s="1"/>
  <c r="C10" i="5"/>
  <c r="F10" i="5"/>
  <c r="N17" i="13"/>
  <c r="O17" i="13"/>
  <c r="P17" i="13"/>
  <c r="P18" i="13" s="1"/>
  <c r="Q17" i="13"/>
  <c r="R17" i="13"/>
  <c r="R18" i="13" s="1"/>
  <c r="S17" i="13"/>
  <c r="T17" i="13"/>
  <c r="U17" i="13"/>
  <c r="V17" i="13"/>
  <c r="W17" i="13"/>
  <c r="X17" i="13"/>
  <c r="X18" i="13" s="1"/>
  <c r="Y17" i="13"/>
  <c r="Y18" i="13" s="1"/>
  <c r="Z17" i="13"/>
  <c r="Z18" i="13" s="1"/>
  <c r="AA17" i="13"/>
  <c r="AB17" i="13"/>
  <c r="AC17" i="13"/>
  <c r="AD17" i="13"/>
  <c r="AE17" i="13"/>
  <c r="AF17" i="13"/>
  <c r="AG17" i="13"/>
  <c r="AG18" i="13" s="1"/>
  <c r="AH17" i="13"/>
  <c r="AH18" i="13" s="1"/>
  <c r="AI17" i="13"/>
  <c r="AJ17" i="13"/>
  <c r="AK17" i="13"/>
  <c r="AL17" i="13"/>
  <c r="AM17" i="13"/>
  <c r="AN17" i="13"/>
  <c r="AO17" i="13"/>
  <c r="AP17" i="13"/>
  <c r="AP18" i="13" s="1"/>
  <c r="AQ17" i="13"/>
  <c r="AR17" i="13"/>
  <c r="AS17" i="13"/>
  <c r="AT17" i="13"/>
  <c r="AU17" i="13"/>
  <c r="AV17" i="13"/>
  <c r="AV18" i="13" s="1"/>
  <c r="AW17" i="13"/>
  <c r="AW18" i="13" s="1"/>
  <c r="AX17" i="13"/>
  <c r="AX18" i="13" s="1"/>
  <c r="AY17" i="13"/>
  <c r="AZ17" i="13"/>
  <c r="BA17" i="13"/>
  <c r="BB17" i="13"/>
  <c r="BC17" i="13"/>
  <c r="BD17" i="13"/>
  <c r="BD18" i="13" s="1"/>
  <c r="BE17" i="13"/>
  <c r="BE18" i="13" s="1"/>
  <c r="BF17" i="13"/>
  <c r="BF18" i="13" s="1"/>
  <c r="BG17" i="13"/>
  <c r="BH17" i="13"/>
  <c r="BI17" i="13"/>
  <c r="BJ17" i="13"/>
  <c r="BK17" i="13"/>
  <c r="BL17" i="13"/>
  <c r="BL18" i="13" s="1"/>
  <c r="BM17" i="13"/>
  <c r="BM18" i="13" s="1"/>
  <c r="BN17" i="13"/>
  <c r="BN18" i="13" s="1"/>
  <c r="BO17" i="13"/>
  <c r="BP17" i="13"/>
  <c r="BQ17" i="13"/>
  <c r="BR17" i="13"/>
  <c r="BS17" i="13"/>
  <c r="BT17" i="13"/>
  <c r="BT18" i="13" s="1"/>
  <c r="BU17" i="13"/>
  <c r="BU18" i="13" s="1"/>
  <c r="BV17" i="13"/>
  <c r="BV18" i="13" s="1"/>
  <c r="BW17" i="13"/>
  <c r="BX17" i="13"/>
  <c r="E44" i="1"/>
  <c r="E47" i="1"/>
  <c r="E50" i="1"/>
  <c r="E53" i="1"/>
  <c r="E56" i="1"/>
  <c r="E59" i="1"/>
  <c r="E66" i="1"/>
  <c r="E43" i="1"/>
  <c r="C22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AI22" i="13"/>
  <c r="AJ22" i="13"/>
  <c r="AK22" i="13"/>
  <c r="AL22" i="13"/>
  <c r="AM22" i="13"/>
  <c r="AN22" i="13"/>
  <c r="AO22" i="13"/>
  <c r="AP22" i="13"/>
  <c r="AQ22" i="13"/>
  <c r="AR22" i="13"/>
  <c r="AS22" i="13"/>
  <c r="AT22" i="13"/>
  <c r="AU22" i="13"/>
  <c r="AV22" i="13"/>
  <c r="AW22" i="13"/>
  <c r="AX22" i="13"/>
  <c r="AY22" i="13"/>
  <c r="AZ22" i="13"/>
  <c r="BA22" i="13"/>
  <c r="BB22" i="13"/>
  <c r="BC22" i="13"/>
  <c r="BD22" i="13"/>
  <c r="BE22" i="13"/>
  <c r="BF22" i="13"/>
  <c r="BG22" i="13"/>
  <c r="BH22" i="13"/>
  <c r="BI22" i="13"/>
  <c r="BJ22" i="13"/>
  <c r="BK22" i="13"/>
  <c r="BL22" i="13"/>
  <c r="BM22" i="13"/>
  <c r="BN22" i="13"/>
  <c r="BO22" i="13"/>
  <c r="BP22" i="13"/>
  <c r="BQ22" i="13"/>
  <c r="BR22" i="13"/>
  <c r="BS22" i="13"/>
  <c r="BT22" i="13"/>
  <c r="BU22" i="13"/>
  <c r="BV22" i="13"/>
  <c r="BW22" i="13"/>
  <c r="BX22" i="13"/>
  <c r="B24" i="13"/>
  <c r="B31" i="13"/>
  <c r="C113" i="1"/>
  <c r="C112" i="1"/>
  <c r="D113" i="1"/>
  <c r="D112" i="1"/>
  <c r="E113" i="1"/>
  <c r="E112" i="1"/>
  <c r="F113" i="1"/>
  <c r="F112" i="1"/>
  <c r="G113" i="1"/>
  <c r="G112" i="1"/>
  <c r="H113" i="1"/>
  <c r="H112" i="1"/>
  <c r="B32" i="13"/>
  <c r="I41" i="13"/>
  <c r="G71" i="1"/>
  <c r="T72" i="1"/>
  <c r="U72" i="1"/>
  <c r="T73" i="1"/>
  <c r="U73" i="1"/>
  <c r="I74" i="1"/>
  <c r="J74" i="1"/>
  <c r="K74" i="1"/>
  <c r="L74" i="1"/>
  <c r="M74" i="1"/>
  <c r="N74" i="1"/>
  <c r="O74" i="1"/>
  <c r="R74" i="1"/>
  <c r="T74" i="1"/>
  <c r="T71" i="1" s="1"/>
  <c r="T76" i="1" s="1"/>
  <c r="U74" i="1"/>
  <c r="U71" i="1" s="1"/>
  <c r="U76" i="1" s="1"/>
  <c r="I75" i="1"/>
  <c r="J75" i="1"/>
  <c r="K75" i="1"/>
  <c r="L75" i="1"/>
  <c r="M75" i="1"/>
  <c r="N75" i="1"/>
  <c r="O75" i="1"/>
  <c r="Q75" i="1"/>
  <c r="R75" i="1"/>
  <c r="T75" i="1"/>
  <c r="U75" i="1"/>
  <c r="H74" i="1"/>
  <c r="H75" i="1"/>
  <c r="G76" i="1"/>
  <c r="H42" i="1"/>
  <c r="B10" i="4"/>
  <c r="B15" i="4" s="1"/>
  <c r="C9" i="3"/>
  <c r="D9" i="3"/>
  <c r="O12" i="3"/>
  <c r="O17" i="3" s="1"/>
  <c r="C25" i="9"/>
  <c r="B57" i="9"/>
  <c r="C26" i="9"/>
  <c r="C27" i="9"/>
  <c r="C20" i="9"/>
  <c r="C21" i="9"/>
  <c r="C22" i="9"/>
  <c r="C23" i="9"/>
  <c r="C15" i="9"/>
  <c r="C16" i="9"/>
  <c r="C17" i="9"/>
  <c r="C18" i="9"/>
  <c r="B10" i="9"/>
  <c r="B34" i="9"/>
  <c r="C13" i="9"/>
  <c r="C34" i="9"/>
  <c r="D34" i="9"/>
  <c r="E34" i="9"/>
  <c r="F34" i="9"/>
  <c r="G34" i="9"/>
  <c r="H34" i="9"/>
  <c r="I34" i="9"/>
  <c r="B11" i="9"/>
  <c r="B20" i="9"/>
  <c r="B15" i="9"/>
  <c r="B16" i="9"/>
  <c r="B17" i="9"/>
  <c r="B18" i="9"/>
  <c r="B13" i="9"/>
  <c r="B25" i="9"/>
  <c r="N49" i="9"/>
  <c r="B26" i="9"/>
  <c r="N50" i="9"/>
  <c r="B27" i="9"/>
  <c r="N51" i="9"/>
  <c r="N44" i="9"/>
  <c r="B21" i="9"/>
  <c r="N45" i="9"/>
  <c r="B22" i="9"/>
  <c r="N46" i="9"/>
  <c r="B23" i="9"/>
  <c r="N47" i="9"/>
  <c r="N39" i="9"/>
  <c r="N40" i="9"/>
  <c r="N41" i="9"/>
  <c r="N42" i="9"/>
  <c r="N34" i="9"/>
  <c r="N35" i="9"/>
  <c r="N36" i="9"/>
  <c r="N37" i="9"/>
  <c r="C36" i="3"/>
  <c r="B50" i="4"/>
  <c r="C8" i="3"/>
  <c r="B8" i="13" s="1"/>
  <c r="B8" i="4"/>
  <c r="D36" i="3"/>
  <c r="F58" i="5"/>
  <c r="G58" i="5"/>
  <c r="H58" i="5"/>
  <c r="I58" i="5"/>
  <c r="J58" i="5"/>
  <c r="K58" i="5"/>
  <c r="L58" i="5"/>
  <c r="M58" i="5"/>
  <c r="N58" i="5"/>
  <c r="O58" i="5"/>
  <c r="P58" i="5"/>
  <c r="C15" i="32"/>
  <c r="D69" i="1"/>
  <c r="I69" i="1"/>
  <c r="D15" i="32"/>
  <c r="J69" i="1"/>
  <c r="E15" i="32"/>
  <c r="F15" i="32"/>
  <c r="G15" i="32"/>
  <c r="H15" i="32"/>
  <c r="I15" i="32"/>
  <c r="J15" i="32"/>
  <c r="K15" i="32"/>
  <c r="L15" i="32"/>
  <c r="M15" i="32"/>
  <c r="N15" i="32"/>
  <c r="O15" i="32"/>
  <c r="C45" i="1"/>
  <c r="B95" i="1"/>
  <c r="H45" i="1"/>
  <c r="C46" i="1"/>
  <c r="H46" i="1"/>
  <c r="H44" i="1"/>
  <c r="C16" i="32"/>
  <c r="C95" i="1"/>
  <c r="I45" i="1"/>
  <c r="I46" i="1"/>
  <c r="I44" i="1"/>
  <c r="D16" i="32"/>
  <c r="D95" i="1"/>
  <c r="J45" i="1" s="1"/>
  <c r="E95" i="1"/>
  <c r="K45" i="1"/>
  <c r="K46" i="1"/>
  <c r="K44" i="1"/>
  <c r="F16" i="32"/>
  <c r="F95" i="1"/>
  <c r="L45" i="1" s="1"/>
  <c r="G95" i="1"/>
  <c r="M45" i="1" s="1"/>
  <c r="H95" i="1"/>
  <c r="N45" i="1" s="1"/>
  <c r="I95" i="1"/>
  <c r="O45" i="1" s="1"/>
  <c r="J95" i="1"/>
  <c r="P45" i="1" s="1"/>
  <c r="K95" i="1"/>
  <c r="Q45" i="1" s="1"/>
  <c r="L95" i="1"/>
  <c r="R45" i="1" s="1"/>
  <c r="R44" i="1" s="1"/>
  <c r="R46" i="1"/>
  <c r="M95" i="1"/>
  <c r="S45" i="1" s="1"/>
  <c r="H48" i="1"/>
  <c r="H49" i="1"/>
  <c r="H47" i="1"/>
  <c r="C17" i="32"/>
  <c r="I48" i="1"/>
  <c r="I49" i="1"/>
  <c r="I47" i="1"/>
  <c r="D17" i="32"/>
  <c r="J48" i="1"/>
  <c r="J49" i="1"/>
  <c r="J47" i="1"/>
  <c r="E17" i="32"/>
  <c r="K48" i="1"/>
  <c r="K49" i="1"/>
  <c r="K47" i="1"/>
  <c r="F17" i="32"/>
  <c r="L48" i="1"/>
  <c r="L49" i="1"/>
  <c r="L47" i="1"/>
  <c r="G17" i="32"/>
  <c r="M48" i="1"/>
  <c r="M49" i="1"/>
  <c r="M47" i="1"/>
  <c r="H17" i="32"/>
  <c r="N48" i="1"/>
  <c r="N49" i="1"/>
  <c r="N47" i="1"/>
  <c r="I17" i="32"/>
  <c r="O48" i="1"/>
  <c r="O49" i="1"/>
  <c r="O47" i="1"/>
  <c r="J17" i="32"/>
  <c r="P48" i="1"/>
  <c r="P49" i="1"/>
  <c r="P47" i="1"/>
  <c r="K17" i="32"/>
  <c r="Q48" i="1"/>
  <c r="Q49" i="1"/>
  <c r="Q47" i="1"/>
  <c r="L17" i="32"/>
  <c r="R48" i="1"/>
  <c r="R49" i="1"/>
  <c r="R47" i="1"/>
  <c r="M17" i="32"/>
  <c r="S48" i="1"/>
  <c r="S49" i="1"/>
  <c r="S47" i="1"/>
  <c r="N17" i="32"/>
  <c r="O17" i="32"/>
  <c r="H51" i="1"/>
  <c r="H52" i="1"/>
  <c r="H50" i="1"/>
  <c r="C18" i="32"/>
  <c r="I51" i="1"/>
  <c r="I52" i="1"/>
  <c r="I50" i="1"/>
  <c r="D18" i="32"/>
  <c r="J51" i="1"/>
  <c r="J52" i="1"/>
  <c r="J50" i="1"/>
  <c r="E18" i="32"/>
  <c r="K51" i="1"/>
  <c r="K52" i="1"/>
  <c r="K50" i="1"/>
  <c r="F18" i="32"/>
  <c r="L51" i="1"/>
  <c r="L52" i="1"/>
  <c r="L50" i="1"/>
  <c r="G18" i="32"/>
  <c r="M51" i="1"/>
  <c r="M52" i="1"/>
  <c r="M50" i="1"/>
  <c r="H18" i="32"/>
  <c r="N51" i="1"/>
  <c r="N52" i="1"/>
  <c r="N50" i="1"/>
  <c r="I18" i="32"/>
  <c r="O51" i="1"/>
  <c r="O52" i="1"/>
  <c r="O50" i="1"/>
  <c r="J18" i="32"/>
  <c r="P51" i="1"/>
  <c r="P52" i="1"/>
  <c r="P50" i="1"/>
  <c r="K18" i="32"/>
  <c r="Q51" i="1"/>
  <c r="Q52" i="1"/>
  <c r="Q50" i="1"/>
  <c r="L18" i="32"/>
  <c r="R51" i="1"/>
  <c r="R52" i="1"/>
  <c r="R50" i="1"/>
  <c r="M18" i="32"/>
  <c r="S51" i="1"/>
  <c r="S52" i="1"/>
  <c r="S50" i="1"/>
  <c r="N18" i="32"/>
  <c r="O18" i="32"/>
  <c r="H54" i="1"/>
  <c r="H55" i="1"/>
  <c r="H53" i="1"/>
  <c r="C19" i="32"/>
  <c r="I54" i="1"/>
  <c r="I55" i="1"/>
  <c r="I53" i="1"/>
  <c r="D19" i="32"/>
  <c r="J54" i="1"/>
  <c r="J55" i="1"/>
  <c r="J53" i="1"/>
  <c r="E19" i="32"/>
  <c r="K54" i="1"/>
  <c r="K55" i="1"/>
  <c r="K53" i="1"/>
  <c r="F19" i="32"/>
  <c r="L54" i="1"/>
  <c r="L55" i="1"/>
  <c r="L53" i="1"/>
  <c r="G19" i="32"/>
  <c r="M54" i="1"/>
  <c r="M53" i="1" s="1"/>
  <c r="H19" i="32" s="1"/>
  <c r="M55" i="1"/>
  <c r="N54" i="1"/>
  <c r="N55" i="1"/>
  <c r="N53" i="1"/>
  <c r="I19" i="32"/>
  <c r="O54" i="1"/>
  <c r="O53" i="1" s="1"/>
  <c r="J19" i="32" s="1"/>
  <c r="M16" i="5" s="1"/>
  <c r="O55" i="1"/>
  <c r="P54" i="1"/>
  <c r="P55" i="1"/>
  <c r="P53" i="1"/>
  <c r="K19" i="32" s="1"/>
  <c r="N16" i="5" s="1"/>
  <c r="Q54" i="1"/>
  <c r="Q55" i="1"/>
  <c r="Q53" i="1"/>
  <c r="L19" i="32"/>
  <c r="R54" i="1"/>
  <c r="R55" i="1"/>
  <c r="R53" i="1"/>
  <c r="M19" i="32"/>
  <c r="S54" i="1"/>
  <c r="S55" i="1"/>
  <c r="S53" i="1"/>
  <c r="N19" i="32"/>
  <c r="H57" i="1"/>
  <c r="H58" i="1"/>
  <c r="H56" i="1"/>
  <c r="C20" i="32"/>
  <c r="I57" i="1"/>
  <c r="I58" i="1"/>
  <c r="I56" i="1"/>
  <c r="D20" i="32"/>
  <c r="J57" i="1"/>
  <c r="J58" i="1"/>
  <c r="J56" i="1"/>
  <c r="E20" i="32"/>
  <c r="K57" i="1"/>
  <c r="K58" i="1"/>
  <c r="K56" i="1"/>
  <c r="F20" i="32"/>
  <c r="L57" i="1"/>
  <c r="L58" i="1"/>
  <c r="L56" i="1"/>
  <c r="G20" i="32"/>
  <c r="M57" i="1"/>
  <c r="M58" i="1"/>
  <c r="M56" i="1"/>
  <c r="H20" i="32"/>
  <c r="N57" i="1"/>
  <c r="N58" i="1"/>
  <c r="N56" i="1"/>
  <c r="I20" i="32"/>
  <c r="O57" i="1"/>
  <c r="O58" i="1"/>
  <c r="O56" i="1"/>
  <c r="J20" i="32"/>
  <c r="P57" i="1"/>
  <c r="P58" i="1"/>
  <c r="P56" i="1"/>
  <c r="K20" i="32"/>
  <c r="Q57" i="1"/>
  <c r="Q58" i="1"/>
  <c r="Q56" i="1"/>
  <c r="L20" i="32"/>
  <c r="R57" i="1"/>
  <c r="R58" i="1"/>
  <c r="R56" i="1"/>
  <c r="M20" i="32"/>
  <c r="S57" i="1"/>
  <c r="S58" i="1"/>
  <c r="S56" i="1"/>
  <c r="N20" i="32"/>
  <c r="O20" i="32"/>
  <c r="H60" i="1"/>
  <c r="C21" i="32"/>
  <c r="I60" i="1"/>
  <c r="D21" i="32"/>
  <c r="J60" i="1"/>
  <c r="E21" i="32"/>
  <c r="K60" i="1"/>
  <c r="F21" i="32"/>
  <c r="L60" i="1"/>
  <c r="G21" i="32"/>
  <c r="M60" i="1"/>
  <c r="H21" i="32"/>
  <c r="N60" i="1"/>
  <c r="I21" i="32"/>
  <c r="O60" i="1"/>
  <c r="J21" i="32"/>
  <c r="P60" i="1"/>
  <c r="K21" i="32"/>
  <c r="Q60" i="1"/>
  <c r="L21" i="32"/>
  <c r="R60" i="1"/>
  <c r="M21" i="32"/>
  <c r="S60" i="1"/>
  <c r="N21" i="32"/>
  <c r="O21" i="32"/>
  <c r="H61" i="1"/>
  <c r="C22" i="32"/>
  <c r="I61" i="1"/>
  <c r="D22" i="32"/>
  <c r="J61" i="1"/>
  <c r="E22" i="32"/>
  <c r="K61" i="1"/>
  <c r="F22" i="32"/>
  <c r="L61" i="1"/>
  <c r="G22" i="32"/>
  <c r="M61" i="1"/>
  <c r="H22" i="32"/>
  <c r="N61" i="1"/>
  <c r="I22" i="32"/>
  <c r="O61" i="1"/>
  <c r="J22" i="32"/>
  <c r="P61" i="1"/>
  <c r="K22" i="32"/>
  <c r="Q61" i="1"/>
  <c r="L22" i="32"/>
  <c r="R61" i="1"/>
  <c r="M22" i="32"/>
  <c r="S61" i="1"/>
  <c r="N22" i="32"/>
  <c r="O22" i="32"/>
  <c r="H62" i="1"/>
  <c r="C23" i="32"/>
  <c r="I62" i="1"/>
  <c r="D23" i="32"/>
  <c r="J62" i="1"/>
  <c r="E23" i="32"/>
  <c r="K62" i="1"/>
  <c r="F23" i="32"/>
  <c r="L62" i="1"/>
  <c r="G23" i="32"/>
  <c r="M62" i="1"/>
  <c r="H23" i="32" s="1"/>
  <c r="K20" i="5" s="1"/>
  <c r="N62" i="1"/>
  <c r="I23" i="32" s="1"/>
  <c r="L20" i="5" s="1"/>
  <c r="O62" i="1"/>
  <c r="J23" i="32" s="1"/>
  <c r="M20" i="5" s="1"/>
  <c r="P62" i="1"/>
  <c r="K23" i="32" s="1"/>
  <c r="N20" i="5" s="1"/>
  <c r="Q62" i="1"/>
  <c r="L23" i="32" s="1"/>
  <c r="R62" i="1"/>
  <c r="M23" i="32"/>
  <c r="S62" i="1"/>
  <c r="N23" i="32"/>
  <c r="H63" i="1"/>
  <c r="C24" i="32"/>
  <c r="I63" i="1"/>
  <c r="D24" i="32"/>
  <c r="J63" i="1"/>
  <c r="E24" i="32"/>
  <c r="K63" i="1"/>
  <c r="F24" i="32"/>
  <c r="L63" i="1"/>
  <c r="G24" i="32"/>
  <c r="M63" i="1"/>
  <c r="H24" i="32"/>
  <c r="N63" i="1"/>
  <c r="I24" i="32"/>
  <c r="O63" i="1"/>
  <c r="J24" i="32"/>
  <c r="P63" i="1"/>
  <c r="K24" i="32" s="1"/>
  <c r="Q63" i="1"/>
  <c r="L24" i="32"/>
  <c r="R63" i="1"/>
  <c r="M24" i="32" s="1"/>
  <c r="P21" i="5" s="1"/>
  <c r="S63" i="1"/>
  <c r="N24" i="32"/>
  <c r="H64" i="1"/>
  <c r="C25" i="32"/>
  <c r="I64" i="1"/>
  <c r="D25" i="32"/>
  <c r="J64" i="1"/>
  <c r="E25" i="32"/>
  <c r="K64" i="1"/>
  <c r="F25" i="32" s="1"/>
  <c r="L64" i="1"/>
  <c r="G25" i="32" s="1"/>
  <c r="M64" i="1"/>
  <c r="H25" i="32"/>
  <c r="N64" i="1"/>
  <c r="I25" i="32"/>
  <c r="O64" i="1"/>
  <c r="J25" i="32"/>
  <c r="P64" i="1"/>
  <c r="K25" i="32"/>
  <c r="Q64" i="1"/>
  <c r="L25" i="32"/>
  <c r="R64" i="1"/>
  <c r="M25" i="32"/>
  <c r="S64" i="1"/>
  <c r="N25" i="32"/>
  <c r="H65" i="1"/>
  <c r="C26" i="32"/>
  <c r="I65" i="1"/>
  <c r="D26" i="32"/>
  <c r="J65" i="1"/>
  <c r="E26" i="32"/>
  <c r="K65" i="1"/>
  <c r="F26" i="32"/>
  <c r="L65" i="1"/>
  <c r="G26" i="32"/>
  <c r="M65" i="1"/>
  <c r="H26" i="32"/>
  <c r="N65" i="1"/>
  <c r="I26" i="32"/>
  <c r="O65" i="1"/>
  <c r="J26" i="32"/>
  <c r="P65" i="1"/>
  <c r="K26" i="32"/>
  <c r="Q65" i="1"/>
  <c r="L26" i="32"/>
  <c r="R65" i="1"/>
  <c r="M26" i="32"/>
  <c r="S65" i="1"/>
  <c r="N26" i="32"/>
  <c r="O26" i="32"/>
  <c r="Q58" i="5"/>
  <c r="R58" i="5"/>
  <c r="S58" i="5"/>
  <c r="T58" i="5"/>
  <c r="U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V58" i="5"/>
  <c r="W58" i="5"/>
  <c r="X58" i="5"/>
  <c r="Y58" i="5"/>
  <c r="Z58" i="5"/>
  <c r="AA58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S58" i="5"/>
  <c r="AT58" i="5"/>
  <c r="AU58" i="5"/>
  <c r="AV58" i="5"/>
  <c r="AW58" i="5"/>
  <c r="AX58" i="5"/>
  <c r="AY58" i="5"/>
  <c r="AZ58" i="5"/>
  <c r="BA58" i="5"/>
  <c r="BB58" i="5"/>
  <c r="BC58" i="5"/>
  <c r="BD58" i="5"/>
  <c r="BE58" i="5"/>
  <c r="BF58" i="5"/>
  <c r="BG58" i="5"/>
  <c r="BH58" i="5"/>
  <c r="BI58" i="5"/>
  <c r="BJ58" i="5"/>
  <c r="BK58" i="5"/>
  <c r="BL58" i="5"/>
  <c r="BM58" i="5"/>
  <c r="BN58" i="5"/>
  <c r="BO58" i="5"/>
  <c r="BP58" i="5"/>
  <c r="BQ58" i="5"/>
  <c r="BR58" i="5"/>
  <c r="BS58" i="5"/>
  <c r="BT58" i="5"/>
  <c r="BU58" i="5"/>
  <c r="BV58" i="5"/>
  <c r="BW58" i="5"/>
  <c r="BX58" i="5"/>
  <c r="BY58" i="5"/>
  <c r="BZ58" i="5"/>
  <c r="CA58" i="5"/>
  <c r="CB58" i="5"/>
  <c r="D45" i="1"/>
  <c r="D46" i="1"/>
  <c r="D48" i="1"/>
  <c r="D49" i="1"/>
  <c r="D51" i="1"/>
  <c r="D52" i="1"/>
  <c r="D54" i="1"/>
  <c r="D55" i="1"/>
  <c r="D57" i="1"/>
  <c r="D58" i="1"/>
  <c r="D60" i="1"/>
  <c r="D61" i="1"/>
  <c r="D62" i="1"/>
  <c r="D63" i="1"/>
  <c r="D64" i="1"/>
  <c r="D65" i="1"/>
  <c r="D67" i="1"/>
  <c r="D68" i="1"/>
  <c r="D70" i="1"/>
  <c r="B32" i="10"/>
  <c r="B41" i="13" s="1"/>
  <c r="B26" i="1"/>
  <c r="F71" i="5"/>
  <c r="B12" i="4"/>
  <c r="M135" i="1"/>
  <c r="C12" i="3"/>
  <c r="M136" i="1"/>
  <c r="M137" i="1"/>
  <c r="C195" i="1"/>
  <c r="D203" i="1"/>
  <c r="D208" i="1"/>
  <c r="C196" i="1"/>
  <c r="C204" i="1"/>
  <c r="D204" i="1"/>
  <c r="D209" i="1"/>
  <c r="C197" i="1"/>
  <c r="C198" i="1"/>
  <c r="C148" i="1"/>
  <c r="C199" i="1"/>
  <c r="C200" i="1"/>
  <c r="C201" i="1"/>
  <c r="C205" i="1"/>
  <c r="M139" i="1"/>
  <c r="M138" i="1"/>
  <c r="C212" i="1"/>
  <c r="L148" i="1"/>
  <c r="N135" i="1"/>
  <c r="D12" i="3"/>
  <c r="N136" i="1"/>
  <c r="N137" i="1"/>
  <c r="N139" i="1"/>
  <c r="N138" i="1"/>
  <c r="M148" i="1"/>
  <c r="O135" i="1"/>
  <c r="E12" i="3"/>
  <c r="O136" i="1"/>
  <c r="O137" i="1"/>
  <c r="O139" i="1"/>
  <c r="O138" i="1"/>
  <c r="N148" i="1"/>
  <c r="D135" i="1"/>
  <c r="F12" i="3"/>
  <c r="D136" i="1"/>
  <c r="D137" i="1"/>
  <c r="D139" i="1"/>
  <c r="D138" i="1"/>
  <c r="E135" i="1"/>
  <c r="G12" i="3"/>
  <c r="E136" i="1"/>
  <c r="E137" i="1"/>
  <c r="E139" i="1"/>
  <c r="E138" i="1"/>
  <c r="D148" i="1"/>
  <c r="F135" i="1"/>
  <c r="H12" i="3"/>
  <c r="F136" i="1"/>
  <c r="F137" i="1"/>
  <c r="F139" i="1"/>
  <c r="F138" i="1"/>
  <c r="E148" i="1"/>
  <c r="G135" i="1"/>
  <c r="I12" i="3"/>
  <c r="G136" i="1"/>
  <c r="G137" i="1"/>
  <c r="G139" i="1"/>
  <c r="G138" i="1"/>
  <c r="F148" i="1"/>
  <c r="H135" i="1"/>
  <c r="J12" i="3"/>
  <c r="H136" i="1"/>
  <c r="H137" i="1"/>
  <c r="H139" i="1"/>
  <c r="H138" i="1"/>
  <c r="G148" i="1"/>
  <c r="I135" i="1"/>
  <c r="K12" i="3"/>
  <c r="I136" i="1"/>
  <c r="I137" i="1"/>
  <c r="I139" i="1"/>
  <c r="I138" i="1"/>
  <c r="H148" i="1"/>
  <c r="J135" i="1"/>
  <c r="L12" i="3"/>
  <c r="L17" i="3" s="1"/>
  <c r="J136" i="1"/>
  <c r="J137" i="1"/>
  <c r="J139" i="1"/>
  <c r="J138" i="1"/>
  <c r="I148" i="1"/>
  <c r="K135" i="1"/>
  <c r="M12" i="3"/>
  <c r="M15" i="3" s="1"/>
  <c r="K136" i="1"/>
  <c r="K137" i="1"/>
  <c r="K139" i="1"/>
  <c r="K138" i="1"/>
  <c r="J148" i="1"/>
  <c r="L135" i="1"/>
  <c r="N12" i="3"/>
  <c r="N14" i="3" s="1"/>
  <c r="L136" i="1"/>
  <c r="L137" i="1"/>
  <c r="L139" i="1"/>
  <c r="L138" i="1"/>
  <c r="K148" i="1"/>
  <c r="N142" i="1"/>
  <c r="P12" i="3" s="1"/>
  <c r="O49" i="9"/>
  <c r="O50" i="9"/>
  <c r="O51" i="9"/>
  <c r="O44" i="9"/>
  <c r="O45" i="9"/>
  <c r="O46" i="9"/>
  <c r="O47" i="9"/>
  <c r="O39" i="9"/>
  <c r="O40" i="9"/>
  <c r="O41" i="9"/>
  <c r="O42" i="9"/>
  <c r="O34" i="9"/>
  <c r="O35" i="9"/>
  <c r="O36" i="9"/>
  <c r="O37" i="9"/>
  <c r="P49" i="9"/>
  <c r="P50" i="9"/>
  <c r="P51" i="9"/>
  <c r="P44" i="9"/>
  <c r="P45" i="9"/>
  <c r="P46" i="9"/>
  <c r="P47" i="9"/>
  <c r="P39" i="9"/>
  <c r="P40" i="9"/>
  <c r="P41" i="9"/>
  <c r="P42" i="9"/>
  <c r="P34" i="9"/>
  <c r="P35" i="9"/>
  <c r="P36" i="9"/>
  <c r="P37" i="9"/>
  <c r="Q49" i="9"/>
  <c r="Q50" i="9"/>
  <c r="Q51" i="9"/>
  <c r="Q44" i="9"/>
  <c r="Q45" i="9"/>
  <c r="Q46" i="9"/>
  <c r="Q47" i="9"/>
  <c r="Q39" i="9"/>
  <c r="Q40" i="9"/>
  <c r="Q41" i="9"/>
  <c r="Q42" i="9"/>
  <c r="Q34" i="9"/>
  <c r="Q35" i="9"/>
  <c r="Q36" i="9"/>
  <c r="Q37" i="9"/>
  <c r="R49" i="9"/>
  <c r="R50" i="9"/>
  <c r="R51" i="9"/>
  <c r="R44" i="9"/>
  <c r="R45" i="9"/>
  <c r="R46" i="9"/>
  <c r="R47" i="9"/>
  <c r="R39" i="9"/>
  <c r="R40" i="9"/>
  <c r="R41" i="9"/>
  <c r="R42" i="9"/>
  <c r="R34" i="9"/>
  <c r="R35" i="9"/>
  <c r="R36" i="9"/>
  <c r="R37" i="9"/>
  <c r="S49" i="9"/>
  <c r="S50" i="9"/>
  <c r="S51" i="9"/>
  <c r="S44" i="9"/>
  <c r="S45" i="9"/>
  <c r="S46" i="9"/>
  <c r="S47" i="9"/>
  <c r="S39" i="9"/>
  <c r="S40" i="9"/>
  <c r="S41" i="9"/>
  <c r="S42" i="9"/>
  <c r="S34" i="9"/>
  <c r="S35" i="9"/>
  <c r="S36" i="9"/>
  <c r="S37" i="9"/>
  <c r="T49" i="9"/>
  <c r="T50" i="9"/>
  <c r="T51" i="9"/>
  <c r="T44" i="9"/>
  <c r="T45" i="9"/>
  <c r="T46" i="9"/>
  <c r="T47" i="9"/>
  <c r="T39" i="9"/>
  <c r="T40" i="9"/>
  <c r="T41" i="9"/>
  <c r="T42" i="9"/>
  <c r="T34" i="9"/>
  <c r="T35" i="9"/>
  <c r="T36" i="9"/>
  <c r="T37" i="9"/>
  <c r="U49" i="9"/>
  <c r="U50" i="9"/>
  <c r="U51" i="9"/>
  <c r="U44" i="9"/>
  <c r="U45" i="9"/>
  <c r="U46" i="9"/>
  <c r="U47" i="9"/>
  <c r="U39" i="9"/>
  <c r="U40" i="9"/>
  <c r="U41" i="9"/>
  <c r="U42" i="9"/>
  <c r="U34" i="9"/>
  <c r="U35" i="9"/>
  <c r="U36" i="9"/>
  <c r="U37" i="9"/>
  <c r="V49" i="9"/>
  <c r="V50" i="9"/>
  <c r="V51" i="9"/>
  <c r="V44" i="9"/>
  <c r="V45" i="9"/>
  <c r="V46" i="9"/>
  <c r="V47" i="9"/>
  <c r="V39" i="9"/>
  <c r="V40" i="9"/>
  <c r="V41" i="9"/>
  <c r="V42" i="9"/>
  <c r="V34" i="9"/>
  <c r="V35" i="9"/>
  <c r="V36" i="9"/>
  <c r="V37" i="9"/>
  <c r="W49" i="9"/>
  <c r="W50" i="9"/>
  <c r="W51" i="9"/>
  <c r="W44" i="9"/>
  <c r="W45" i="9"/>
  <c r="W46" i="9"/>
  <c r="W47" i="9"/>
  <c r="W39" i="9"/>
  <c r="W40" i="9"/>
  <c r="W41" i="9"/>
  <c r="W42" i="9"/>
  <c r="W34" i="9"/>
  <c r="W35" i="9"/>
  <c r="W36" i="9"/>
  <c r="W37" i="9"/>
  <c r="X49" i="9"/>
  <c r="X50" i="9"/>
  <c r="X51" i="9"/>
  <c r="X44" i="9"/>
  <c r="X45" i="9"/>
  <c r="X46" i="9"/>
  <c r="X47" i="9"/>
  <c r="X39" i="9"/>
  <c r="X40" i="9"/>
  <c r="X41" i="9"/>
  <c r="X42" i="9"/>
  <c r="X34" i="9"/>
  <c r="X35" i="9"/>
  <c r="X36" i="9"/>
  <c r="X37" i="9"/>
  <c r="Z12" i="3"/>
  <c r="Z14" i="3" s="1"/>
  <c r="Y49" i="9"/>
  <c r="Y50" i="9"/>
  <c r="Y51" i="9"/>
  <c r="Y44" i="9"/>
  <c r="Y45" i="9"/>
  <c r="Y46" i="9"/>
  <c r="Y47" i="9"/>
  <c r="Y39" i="9"/>
  <c r="Y40" i="9"/>
  <c r="Y41" i="9"/>
  <c r="Y42" i="9"/>
  <c r="Y34" i="9"/>
  <c r="Y35" i="9"/>
  <c r="Y36" i="9"/>
  <c r="Y37" i="9"/>
  <c r="AA12" i="3"/>
  <c r="Z49" i="9"/>
  <c r="Z50" i="9"/>
  <c r="Z51" i="9"/>
  <c r="Z44" i="9"/>
  <c r="Z45" i="9"/>
  <c r="Z46" i="9"/>
  <c r="Z47" i="9"/>
  <c r="Z39" i="9"/>
  <c r="Z40" i="9"/>
  <c r="Z41" i="9"/>
  <c r="Z42" i="9"/>
  <c r="Z34" i="9"/>
  <c r="Z35" i="9"/>
  <c r="Z36" i="9"/>
  <c r="Z37" i="9"/>
  <c r="AB12" i="3"/>
  <c r="AA49" i="9"/>
  <c r="AA50" i="9"/>
  <c r="AA51" i="9"/>
  <c r="AA44" i="9"/>
  <c r="AA45" i="9"/>
  <c r="AA46" i="9"/>
  <c r="AA47" i="9"/>
  <c r="AA39" i="9"/>
  <c r="AA40" i="9"/>
  <c r="AA41" i="9"/>
  <c r="AA42" i="9"/>
  <c r="AA34" i="9"/>
  <c r="AA35" i="9"/>
  <c r="AA36" i="9"/>
  <c r="AA37" i="9"/>
  <c r="AC12" i="3"/>
  <c r="AB49" i="9"/>
  <c r="AB50" i="9"/>
  <c r="AB51" i="9"/>
  <c r="AB44" i="9"/>
  <c r="AB45" i="9"/>
  <c r="AB46" i="9"/>
  <c r="AB47" i="9"/>
  <c r="AB39" i="9"/>
  <c r="AB40" i="9"/>
  <c r="AB41" i="9"/>
  <c r="AB42" i="9"/>
  <c r="AB34" i="9"/>
  <c r="AB35" i="9"/>
  <c r="AB36" i="9"/>
  <c r="AB37" i="9"/>
  <c r="AD12" i="3"/>
  <c r="AC49" i="9"/>
  <c r="AC50" i="9"/>
  <c r="AC51" i="9"/>
  <c r="AC44" i="9"/>
  <c r="AC45" i="9"/>
  <c r="AC46" i="9"/>
  <c r="AC47" i="9"/>
  <c r="AC39" i="9"/>
  <c r="AC40" i="9"/>
  <c r="AC41" i="9"/>
  <c r="AC42" i="9"/>
  <c r="AC34" i="9"/>
  <c r="AC35" i="9"/>
  <c r="AC36" i="9"/>
  <c r="AC37" i="9"/>
  <c r="AE12" i="3"/>
  <c r="AD49" i="9"/>
  <c r="AD50" i="9"/>
  <c r="AD51" i="9"/>
  <c r="AD44" i="9"/>
  <c r="AD45" i="9"/>
  <c r="AD46" i="9"/>
  <c r="AD47" i="9"/>
  <c r="AD39" i="9"/>
  <c r="AD40" i="9"/>
  <c r="AD41" i="9"/>
  <c r="AD42" i="9"/>
  <c r="AD34" i="9"/>
  <c r="AD35" i="9"/>
  <c r="AD36" i="9"/>
  <c r="AD37" i="9"/>
  <c r="AF12" i="3"/>
  <c r="AE49" i="9"/>
  <c r="AE50" i="9"/>
  <c r="AE51" i="9"/>
  <c r="AE44" i="9"/>
  <c r="AE45" i="9"/>
  <c r="AE46" i="9"/>
  <c r="AE47" i="9"/>
  <c r="AE39" i="9"/>
  <c r="AE40" i="9"/>
  <c r="AE41" i="9"/>
  <c r="AE42" i="9"/>
  <c r="AE34" i="9"/>
  <c r="AE35" i="9"/>
  <c r="AE36" i="9"/>
  <c r="AE37" i="9"/>
  <c r="AG12" i="3"/>
  <c r="AF49" i="9"/>
  <c r="AF50" i="9"/>
  <c r="AF51" i="9"/>
  <c r="AF44" i="9"/>
  <c r="AF45" i="9"/>
  <c r="AF46" i="9"/>
  <c r="AF47" i="9"/>
  <c r="AF39" i="9"/>
  <c r="AF40" i="9"/>
  <c r="AF41" i="9"/>
  <c r="AF42" i="9"/>
  <c r="AF34" i="9"/>
  <c r="AF35" i="9"/>
  <c r="AF36" i="9"/>
  <c r="AF37" i="9"/>
  <c r="AH12" i="3"/>
  <c r="AG49" i="9"/>
  <c r="AG50" i="9"/>
  <c r="AG51" i="9"/>
  <c r="AG44" i="9"/>
  <c r="AG45" i="9"/>
  <c r="AG46" i="9"/>
  <c r="AG47" i="9"/>
  <c r="AG39" i="9"/>
  <c r="AG40" i="9"/>
  <c r="AG41" i="9"/>
  <c r="AG42" i="9"/>
  <c r="AG34" i="9"/>
  <c r="AG35" i="9"/>
  <c r="AG36" i="9"/>
  <c r="AG33" i="9" s="1"/>
  <c r="AG52" i="9" s="1"/>
  <c r="AG37" i="9"/>
  <c r="AI12" i="3"/>
  <c r="AH49" i="9"/>
  <c r="AH50" i="9"/>
  <c r="AH51" i="9"/>
  <c r="AH44" i="9"/>
  <c r="AH45" i="9"/>
  <c r="AH46" i="9"/>
  <c r="AH47" i="9"/>
  <c r="AH39" i="9"/>
  <c r="AH40" i="9"/>
  <c r="AH41" i="9"/>
  <c r="AH42" i="9"/>
  <c r="AH34" i="9"/>
  <c r="AH35" i="9"/>
  <c r="AH36" i="9"/>
  <c r="AH37" i="9"/>
  <c r="AJ12" i="3"/>
  <c r="AI49" i="9"/>
  <c r="AI50" i="9"/>
  <c r="AI51" i="9"/>
  <c r="AI44" i="9"/>
  <c r="AI45" i="9"/>
  <c r="AI46" i="9"/>
  <c r="AI47" i="9"/>
  <c r="AI39" i="9"/>
  <c r="AI40" i="9"/>
  <c r="AI41" i="9"/>
  <c r="AI42" i="9"/>
  <c r="AI34" i="9"/>
  <c r="AI35" i="9"/>
  <c r="AI36" i="9"/>
  <c r="AI37" i="9"/>
  <c r="AK12" i="3"/>
  <c r="AJ49" i="9"/>
  <c r="AJ50" i="9"/>
  <c r="AJ51" i="9"/>
  <c r="AJ44" i="9"/>
  <c r="AJ45" i="9"/>
  <c r="AJ46" i="9"/>
  <c r="AJ47" i="9"/>
  <c r="AJ39" i="9"/>
  <c r="AJ40" i="9"/>
  <c r="AJ41" i="9"/>
  <c r="AJ42" i="9"/>
  <c r="AJ34" i="9"/>
  <c r="AJ35" i="9"/>
  <c r="AJ36" i="9"/>
  <c r="AJ37" i="9"/>
  <c r="AL12" i="3"/>
  <c r="AK49" i="9"/>
  <c r="AK50" i="9"/>
  <c r="AK51" i="9"/>
  <c r="AK44" i="9"/>
  <c r="AK45" i="9"/>
  <c r="AK46" i="9"/>
  <c r="AK47" i="9"/>
  <c r="AK39" i="9"/>
  <c r="AK40" i="9"/>
  <c r="AK41" i="9"/>
  <c r="AK42" i="9"/>
  <c r="AK34" i="9"/>
  <c r="AK35" i="9"/>
  <c r="AK36" i="9"/>
  <c r="AK37" i="9"/>
  <c r="AM12" i="3"/>
  <c r="AL49" i="9"/>
  <c r="AL50" i="9"/>
  <c r="AL51" i="9"/>
  <c r="AL44" i="9"/>
  <c r="AL45" i="9"/>
  <c r="AL46" i="9"/>
  <c r="AL47" i="9"/>
  <c r="AL39" i="9"/>
  <c r="AL40" i="9"/>
  <c r="AL41" i="9"/>
  <c r="AL42" i="9"/>
  <c r="AL34" i="9"/>
  <c r="AL35" i="9"/>
  <c r="AL36" i="9"/>
  <c r="AL37" i="9"/>
  <c r="AN12" i="3"/>
  <c r="AM49" i="9"/>
  <c r="AM50" i="9"/>
  <c r="AM51" i="9"/>
  <c r="AM44" i="9"/>
  <c r="AM45" i="9"/>
  <c r="AM46" i="9"/>
  <c r="AM47" i="9"/>
  <c r="AM39" i="9"/>
  <c r="AM40" i="9"/>
  <c r="AM41" i="9"/>
  <c r="AM42" i="9"/>
  <c r="AM34" i="9"/>
  <c r="AM35" i="9"/>
  <c r="AM36" i="9"/>
  <c r="AM37" i="9"/>
  <c r="AO12" i="3"/>
  <c r="AN49" i="9"/>
  <c r="AN50" i="9"/>
  <c r="AN51" i="9"/>
  <c r="AN44" i="9"/>
  <c r="AN45" i="9"/>
  <c r="AN46" i="9"/>
  <c r="AN47" i="9"/>
  <c r="AN39" i="9"/>
  <c r="AN40" i="9"/>
  <c r="AN41" i="9"/>
  <c r="AN42" i="9"/>
  <c r="AN34" i="9"/>
  <c r="AN35" i="9"/>
  <c r="AN36" i="9"/>
  <c r="AN37" i="9"/>
  <c r="AP12" i="3"/>
  <c r="AO49" i="9"/>
  <c r="AO50" i="9"/>
  <c r="AO51" i="9"/>
  <c r="AO44" i="9"/>
  <c r="AO45" i="9"/>
  <c r="AO46" i="9"/>
  <c r="AO47" i="9"/>
  <c r="AO39" i="9"/>
  <c r="AO40" i="9"/>
  <c r="AO41" i="9"/>
  <c r="AO42" i="9"/>
  <c r="AO34" i="9"/>
  <c r="AO35" i="9"/>
  <c r="AO36" i="9"/>
  <c r="AO37" i="9"/>
  <c r="AQ12" i="3"/>
  <c r="AP49" i="9"/>
  <c r="AP50" i="9"/>
  <c r="AP51" i="9"/>
  <c r="AP44" i="9"/>
  <c r="AP45" i="9"/>
  <c r="AP46" i="9"/>
  <c r="AP47" i="9"/>
  <c r="AP39" i="9"/>
  <c r="AP40" i="9"/>
  <c r="AP41" i="9"/>
  <c r="AP42" i="9"/>
  <c r="AP34" i="9"/>
  <c r="AP35" i="9"/>
  <c r="AP36" i="9"/>
  <c r="AP37" i="9"/>
  <c r="AR12" i="3"/>
  <c r="AQ49" i="9"/>
  <c r="AQ50" i="9"/>
  <c r="AQ51" i="9"/>
  <c r="AQ44" i="9"/>
  <c r="AQ45" i="9"/>
  <c r="AQ46" i="9"/>
  <c r="AQ47" i="9"/>
  <c r="AQ39" i="9"/>
  <c r="AQ40" i="9"/>
  <c r="AQ41" i="9"/>
  <c r="AQ42" i="9"/>
  <c r="AQ34" i="9"/>
  <c r="AQ35" i="9"/>
  <c r="AQ36" i="9"/>
  <c r="AQ37" i="9"/>
  <c r="AS12" i="3"/>
  <c r="AR49" i="9"/>
  <c r="AR50" i="9"/>
  <c r="AR51" i="9"/>
  <c r="AR44" i="9"/>
  <c r="AR45" i="9"/>
  <c r="AR46" i="9"/>
  <c r="AR47" i="9"/>
  <c r="AR39" i="9"/>
  <c r="AR40" i="9"/>
  <c r="AR41" i="9"/>
  <c r="AR42" i="9"/>
  <c r="AR34" i="9"/>
  <c r="AR35" i="9"/>
  <c r="AR36" i="9"/>
  <c r="AR37" i="9"/>
  <c r="AT12" i="3"/>
  <c r="AS49" i="9"/>
  <c r="AS50" i="9"/>
  <c r="AS51" i="9"/>
  <c r="AS44" i="9"/>
  <c r="AS45" i="9"/>
  <c r="AS46" i="9"/>
  <c r="AS47" i="9"/>
  <c r="AS39" i="9"/>
  <c r="AS40" i="9"/>
  <c r="AS41" i="9"/>
  <c r="AS42" i="9"/>
  <c r="AS34" i="9"/>
  <c r="AS35" i="9"/>
  <c r="AS36" i="9"/>
  <c r="AS37" i="9"/>
  <c r="AU12" i="3"/>
  <c r="AT49" i="9"/>
  <c r="AT50" i="9"/>
  <c r="AT51" i="9"/>
  <c r="AT44" i="9"/>
  <c r="AT45" i="9"/>
  <c r="AT46" i="9"/>
  <c r="AT47" i="9"/>
  <c r="AT39" i="9"/>
  <c r="AT40" i="9"/>
  <c r="AT41" i="9"/>
  <c r="AT42" i="9"/>
  <c r="AT34" i="9"/>
  <c r="AT35" i="9"/>
  <c r="AT36" i="9"/>
  <c r="AT33" i="9" s="1"/>
  <c r="AT52" i="9" s="1"/>
  <c r="AT37" i="9"/>
  <c r="AV12" i="3"/>
  <c r="AU49" i="9"/>
  <c r="AU50" i="9"/>
  <c r="AU51" i="9"/>
  <c r="AU44" i="9"/>
  <c r="AU45" i="9"/>
  <c r="AU46" i="9"/>
  <c r="AU47" i="9"/>
  <c r="AU39" i="9"/>
  <c r="AU40" i="9"/>
  <c r="AU41" i="9"/>
  <c r="AU42" i="9"/>
  <c r="AU34" i="9"/>
  <c r="AU35" i="9"/>
  <c r="AU36" i="9"/>
  <c r="AU37" i="9"/>
  <c r="AW12" i="3"/>
  <c r="AV49" i="9"/>
  <c r="AV50" i="9"/>
  <c r="AV51" i="9"/>
  <c r="AV44" i="9"/>
  <c r="AV45" i="9"/>
  <c r="AV46" i="9"/>
  <c r="AV47" i="9"/>
  <c r="AV39" i="9"/>
  <c r="AV40" i="9"/>
  <c r="AV41" i="9"/>
  <c r="AV42" i="9"/>
  <c r="AV34" i="9"/>
  <c r="AV35" i="9"/>
  <c r="AV36" i="9"/>
  <c r="AV37" i="9"/>
  <c r="AX12" i="3"/>
  <c r="AW49" i="9"/>
  <c r="AW50" i="9"/>
  <c r="AW51" i="9"/>
  <c r="AW44" i="9"/>
  <c r="AW45" i="9"/>
  <c r="AW46" i="9"/>
  <c r="AW47" i="9"/>
  <c r="AW39" i="9"/>
  <c r="AW40" i="9"/>
  <c r="AW41" i="9"/>
  <c r="AW42" i="9"/>
  <c r="AW34" i="9"/>
  <c r="AW35" i="9"/>
  <c r="AW36" i="9"/>
  <c r="AW33" i="9" s="1"/>
  <c r="AW52" i="9" s="1"/>
  <c r="AW37" i="9"/>
  <c r="AY12" i="3"/>
  <c r="AY16" i="3" s="1"/>
  <c r="AX49" i="9"/>
  <c r="AX50" i="9"/>
  <c r="AX51" i="9"/>
  <c r="AX44" i="9"/>
  <c r="AX45" i="9"/>
  <c r="AX46" i="9"/>
  <c r="AX47" i="9"/>
  <c r="AX39" i="9"/>
  <c r="AX40" i="9"/>
  <c r="AX41" i="9"/>
  <c r="AX42" i="9"/>
  <c r="AX34" i="9"/>
  <c r="AX35" i="9"/>
  <c r="AX36" i="9"/>
  <c r="AX37" i="9"/>
  <c r="AZ12" i="3"/>
  <c r="AY49" i="9"/>
  <c r="AY50" i="9"/>
  <c r="AY51" i="9"/>
  <c r="AY44" i="9"/>
  <c r="AY45" i="9"/>
  <c r="AY46" i="9"/>
  <c r="AY47" i="9"/>
  <c r="AY39" i="9"/>
  <c r="AY40" i="9"/>
  <c r="AY41" i="9"/>
  <c r="AY42" i="9"/>
  <c r="AY34" i="9"/>
  <c r="AY35" i="9"/>
  <c r="AY36" i="9"/>
  <c r="AY37" i="9"/>
  <c r="BA12" i="3"/>
  <c r="AZ49" i="9"/>
  <c r="AZ50" i="9"/>
  <c r="AZ51" i="9"/>
  <c r="AZ44" i="9"/>
  <c r="AZ45" i="9"/>
  <c r="AZ46" i="9"/>
  <c r="AZ47" i="9"/>
  <c r="AZ39" i="9"/>
  <c r="AZ40" i="9"/>
  <c r="AZ41" i="9"/>
  <c r="AZ42" i="9"/>
  <c r="AZ34" i="9"/>
  <c r="AZ35" i="9"/>
  <c r="AZ36" i="9"/>
  <c r="AZ37" i="9"/>
  <c r="BB12" i="3"/>
  <c r="BA49" i="9"/>
  <c r="BA50" i="9"/>
  <c r="BA51" i="9"/>
  <c r="BA44" i="9"/>
  <c r="BA45" i="9"/>
  <c r="BA46" i="9"/>
  <c r="BA47" i="9"/>
  <c r="BA39" i="9"/>
  <c r="BA40" i="9"/>
  <c r="BA41" i="9"/>
  <c r="BA42" i="9"/>
  <c r="BA34" i="9"/>
  <c r="BA35" i="9"/>
  <c r="BA36" i="9"/>
  <c r="BA37" i="9"/>
  <c r="BC12" i="3"/>
  <c r="BB49" i="9"/>
  <c r="BB50" i="9"/>
  <c r="BB51" i="9"/>
  <c r="BB44" i="9"/>
  <c r="BB45" i="9"/>
  <c r="BB46" i="9"/>
  <c r="BB47" i="9"/>
  <c r="BB39" i="9"/>
  <c r="BB40" i="9"/>
  <c r="BB41" i="9"/>
  <c r="BB42" i="9"/>
  <c r="BB34" i="9"/>
  <c r="BB35" i="9"/>
  <c r="BB36" i="9"/>
  <c r="BB37" i="9"/>
  <c r="BD12" i="3"/>
  <c r="BC49" i="9"/>
  <c r="BC50" i="9"/>
  <c r="BC51" i="9"/>
  <c r="BC44" i="9"/>
  <c r="BC45" i="9"/>
  <c r="BC46" i="9"/>
  <c r="BC47" i="9"/>
  <c r="BC39" i="9"/>
  <c r="BC40" i="9"/>
  <c r="BC41" i="9"/>
  <c r="BC42" i="9"/>
  <c r="BC34" i="9"/>
  <c r="BC35" i="9"/>
  <c r="BC36" i="9"/>
  <c r="BC37" i="9"/>
  <c r="BE12" i="3"/>
  <c r="BD49" i="9"/>
  <c r="BD50" i="9"/>
  <c r="BD51" i="9"/>
  <c r="BD44" i="9"/>
  <c r="BD45" i="9"/>
  <c r="BD46" i="9"/>
  <c r="BD47" i="9"/>
  <c r="BD39" i="9"/>
  <c r="BD40" i="9"/>
  <c r="BD41" i="9"/>
  <c r="BD42" i="9"/>
  <c r="BD34" i="9"/>
  <c r="BD35" i="9"/>
  <c r="BD36" i="9"/>
  <c r="BD37" i="9"/>
  <c r="BF12" i="3"/>
  <c r="BE49" i="9"/>
  <c r="BE50" i="9"/>
  <c r="BE51" i="9"/>
  <c r="BE44" i="9"/>
  <c r="BE45" i="9"/>
  <c r="BE46" i="9"/>
  <c r="BE47" i="9"/>
  <c r="BE39" i="9"/>
  <c r="BE40" i="9"/>
  <c r="BE41" i="9"/>
  <c r="BE42" i="9"/>
  <c r="BE34" i="9"/>
  <c r="BE35" i="9"/>
  <c r="BE36" i="9"/>
  <c r="BE37" i="9"/>
  <c r="BG12" i="3"/>
  <c r="BF49" i="9"/>
  <c r="BF50" i="9"/>
  <c r="BF51" i="9"/>
  <c r="BF44" i="9"/>
  <c r="BF45" i="9"/>
  <c r="BF46" i="9"/>
  <c r="BF47" i="9"/>
  <c r="BF39" i="9"/>
  <c r="BF40" i="9"/>
  <c r="BF41" i="9"/>
  <c r="BF42" i="9"/>
  <c r="BF34" i="9"/>
  <c r="BF35" i="9"/>
  <c r="BF36" i="9"/>
  <c r="BF37" i="9"/>
  <c r="BH12" i="3"/>
  <c r="BG49" i="9"/>
  <c r="BG50" i="9"/>
  <c r="BG51" i="9"/>
  <c r="BG44" i="9"/>
  <c r="BG45" i="9"/>
  <c r="BG46" i="9"/>
  <c r="BG47" i="9"/>
  <c r="BG39" i="9"/>
  <c r="BG40" i="9"/>
  <c r="BG41" i="9"/>
  <c r="BG42" i="9"/>
  <c r="BG34" i="9"/>
  <c r="BG35" i="9"/>
  <c r="BG36" i="9"/>
  <c r="BG37" i="9"/>
  <c r="BI12" i="3"/>
  <c r="BH49" i="9"/>
  <c r="BH50" i="9"/>
  <c r="BH51" i="9"/>
  <c r="BH44" i="9"/>
  <c r="BH45" i="9"/>
  <c r="BH46" i="9"/>
  <c r="BH47" i="9"/>
  <c r="BH39" i="9"/>
  <c r="BH40" i="9"/>
  <c r="BH41" i="9"/>
  <c r="BH42" i="9"/>
  <c r="BH34" i="9"/>
  <c r="BH35" i="9"/>
  <c r="BH36" i="9"/>
  <c r="BH37" i="9"/>
  <c r="BJ12" i="3"/>
  <c r="BI49" i="9"/>
  <c r="BI50" i="9"/>
  <c r="BI51" i="9"/>
  <c r="BI44" i="9"/>
  <c r="BI45" i="9"/>
  <c r="BI46" i="9"/>
  <c r="BI47" i="9"/>
  <c r="BI39" i="9"/>
  <c r="BI40" i="9"/>
  <c r="BI41" i="9"/>
  <c r="BI42" i="9"/>
  <c r="BI34" i="9"/>
  <c r="BI35" i="9"/>
  <c r="BI36" i="9"/>
  <c r="BI37" i="9"/>
  <c r="BK12" i="3"/>
  <c r="BJ49" i="9"/>
  <c r="BJ50" i="9"/>
  <c r="BJ51" i="9"/>
  <c r="BJ44" i="9"/>
  <c r="BJ45" i="9"/>
  <c r="BJ46" i="9"/>
  <c r="BJ47" i="9"/>
  <c r="BJ39" i="9"/>
  <c r="BJ40" i="9"/>
  <c r="BJ41" i="9"/>
  <c r="BJ42" i="9"/>
  <c r="BJ34" i="9"/>
  <c r="BJ35" i="9"/>
  <c r="BJ36" i="9"/>
  <c r="BJ37" i="9"/>
  <c r="BL12" i="3"/>
  <c r="BK49" i="9"/>
  <c r="BK50" i="9"/>
  <c r="BK51" i="9"/>
  <c r="BK44" i="9"/>
  <c r="BK45" i="9"/>
  <c r="BK46" i="9"/>
  <c r="BK47" i="9"/>
  <c r="BK39" i="9"/>
  <c r="BK40" i="9"/>
  <c r="BK41" i="9"/>
  <c r="BK42" i="9"/>
  <c r="BK34" i="9"/>
  <c r="BK35" i="9"/>
  <c r="BK36" i="9"/>
  <c r="BK37" i="9"/>
  <c r="BM12" i="3"/>
  <c r="BL49" i="9"/>
  <c r="BL50" i="9"/>
  <c r="BL51" i="9"/>
  <c r="BL44" i="9"/>
  <c r="BL45" i="9"/>
  <c r="BL46" i="9"/>
  <c r="BL47" i="9"/>
  <c r="BL39" i="9"/>
  <c r="BL40" i="9"/>
  <c r="BL41" i="9"/>
  <c r="BL42" i="9"/>
  <c r="BL34" i="9"/>
  <c r="BL35" i="9"/>
  <c r="BL36" i="9"/>
  <c r="BL37" i="9"/>
  <c r="BN12" i="3"/>
  <c r="BM49" i="9"/>
  <c r="BM50" i="9"/>
  <c r="BM51" i="9"/>
  <c r="BM44" i="9"/>
  <c r="BM45" i="9"/>
  <c r="BM46" i="9"/>
  <c r="BM47" i="9"/>
  <c r="BM39" i="9"/>
  <c r="BM40" i="9"/>
  <c r="BM41" i="9"/>
  <c r="BM42" i="9"/>
  <c r="BM34" i="9"/>
  <c r="BM35" i="9"/>
  <c r="BM36" i="9"/>
  <c r="BM33" i="9" s="1"/>
  <c r="BM52" i="9" s="1"/>
  <c r="BM37" i="9"/>
  <c r="BO12" i="3"/>
  <c r="BN49" i="9"/>
  <c r="BN50" i="9"/>
  <c r="BN51" i="9"/>
  <c r="BN44" i="9"/>
  <c r="BN45" i="9"/>
  <c r="BN46" i="9"/>
  <c r="BN47" i="9"/>
  <c r="BN39" i="9"/>
  <c r="BN40" i="9"/>
  <c r="BN41" i="9"/>
  <c r="BN42" i="9"/>
  <c r="BN34" i="9"/>
  <c r="BN35" i="9"/>
  <c r="BN36" i="9"/>
  <c r="BN37" i="9"/>
  <c r="BP12" i="3"/>
  <c r="BO49" i="9"/>
  <c r="BO50" i="9"/>
  <c r="BO51" i="9"/>
  <c r="BO44" i="9"/>
  <c r="BO45" i="9"/>
  <c r="BO46" i="9"/>
  <c r="BO47" i="9"/>
  <c r="BO39" i="9"/>
  <c r="BO40" i="9"/>
  <c r="BO41" i="9"/>
  <c r="BO42" i="9"/>
  <c r="BO34" i="9"/>
  <c r="BO35" i="9"/>
  <c r="BO36" i="9"/>
  <c r="BO37" i="9"/>
  <c r="BQ12" i="3"/>
  <c r="BP49" i="9"/>
  <c r="BP50" i="9"/>
  <c r="BP51" i="9"/>
  <c r="BP44" i="9"/>
  <c r="BP45" i="9"/>
  <c r="BP46" i="9"/>
  <c r="BP47" i="9"/>
  <c r="BP39" i="9"/>
  <c r="BP40" i="9"/>
  <c r="BP41" i="9"/>
  <c r="BP42" i="9"/>
  <c r="BP34" i="9"/>
  <c r="BP35" i="9"/>
  <c r="BP36" i="9"/>
  <c r="BP37" i="9"/>
  <c r="BR12" i="3"/>
  <c r="BQ49" i="9"/>
  <c r="BQ50" i="9"/>
  <c r="BQ51" i="9"/>
  <c r="BQ44" i="9"/>
  <c r="BQ45" i="9"/>
  <c r="BQ46" i="9"/>
  <c r="BQ47" i="9"/>
  <c r="BQ39" i="9"/>
  <c r="BQ40" i="9"/>
  <c r="BQ41" i="9"/>
  <c r="BQ42" i="9"/>
  <c r="BQ34" i="9"/>
  <c r="BQ35" i="9"/>
  <c r="BQ36" i="9"/>
  <c r="BQ37" i="9"/>
  <c r="BS12" i="3"/>
  <c r="BR49" i="9"/>
  <c r="BR50" i="9"/>
  <c r="BR51" i="9"/>
  <c r="BR44" i="9"/>
  <c r="BR45" i="9"/>
  <c r="BR46" i="9"/>
  <c r="BR47" i="9"/>
  <c r="BR39" i="9"/>
  <c r="BR40" i="9"/>
  <c r="BR41" i="9"/>
  <c r="BR42" i="9"/>
  <c r="BR34" i="9"/>
  <c r="BR35" i="9"/>
  <c r="BR36" i="9"/>
  <c r="BR33" i="9" s="1"/>
  <c r="BR52" i="9" s="1"/>
  <c r="BR37" i="9"/>
  <c r="BT12" i="3"/>
  <c r="BS49" i="9"/>
  <c r="BS50" i="9"/>
  <c r="BS51" i="9"/>
  <c r="BS44" i="9"/>
  <c r="BS45" i="9"/>
  <c r="BS46" i="9"/>
  <c r="BS47" i="9"/>
  <c r="BS39" i="9"/>
  <c r="BS40" i="9"/>
  <c r="BS41" i="9"/>
  <c r="BS42" i="9"/>
  <c r="BS34" i="9"/>
  <c r="BS35" i="9"/>
  <c r="BS36" i="9"/>
  <c r="BS37" i="9"/>
  <c r="BU12" i="3"/>
  <c r="BT49" i="9"/>
  <c r="BT50" i="9"/>
  <c r="BT51" i="9"/>
  <c r="BT44" i="9"/>
  <c r="BT45" i="9"/>
  <c r="BT46" i="9"/>
  <c r="BT47" i="9"/>
  <c r="BT39" i="9"/>
  <c r="BT40" i="9"/>
  <c r="BT41" i="9"/>
  <c r="BT42" i="9"/>
  <c r="BT34" i="9"/>
  <c r="BT35" i="9"/>
  <c r="BT36" i="9"/>
  <c r="BT37" i="9"/>
  <c r="BV12" i="3"/>
  <c r="BU49" i="9"/>
  <c r="BU50" i="9"/>
  <c r="BU51" i="9"/>
  <c r="BU44" i="9"/>
  <c r="BU45" i="9"/>
  <c r="BU46" i="9"/>
  <c r="BU47" i="9"/>
  <c r="BU39" i="9"/>
  <c r="BU40" i="9"/>
  <c r="BU41" i="9"/>
  <c r="BU42" i="9"/>
  <c r="BU34" i="9"/>
  <c r="BU35" i="9"/>
  <c r="BU36" i="9"/>
  <c r="BU37" i="9"/>
  <c r="BW12" i="3"/>
  <c r="BV49" i="9"/>
  <c r="BV50" i="9"/>
  <c r="BV51" i="9"/>
  <c r="BV44" i="9"/>
  <c r="BV45" i="9"/>
  <c r="BV46" i="9"/>
  <c r="BV47" i="9"/>
  <c r="BV39" i="9"/>
  <c r="BV40" i="9"/>
  <c r="BV41" i="9"/>
  <c r="BV42" i="9"/>
  <c r="BV34" i="9"/>
  <c r="BV35" i="9"/>
  <c r="BV36" i="9"/>
  <c r="BV37" i="9"/>
  <c r="BX12" i="3"/>
  <c r="BW49" i="9"/>
  <c r="BW50" i="9"/>
  <c r="BW51" i="9"/>
  <c r="BW44" i="9"/>
  <c r="BW45" i="9"/>
  <c r="BW46" i="9"/>
  <c r="BW47" i="9"/>
  <c r="BW39" i="9"/>
  <c r="BW40" i="9"/>
  <c r="BW41" i="9"/>
  <c r="BW42" i="9"/>
  <c r="BW34" i="9"/>
  <c r="BW35" i="9"/>
  <c r="BW36" i="9"/>
  <c r="BW37" i="9"/>
  <c r="BX49" i="9"/>
  <c r="BX50" i="9"/>
  <c r="BX51" i="9"/>
  <c r="BX44" i="9"/>
  <c r="BX45" i="9"/>
  <c r="BX46" i="9"/>
  <c r="BX47" i="9"/>
  <c r="BX39" i="9"/>
  <c r="BX40" i="9"/>
  <c r="BX41" i="9"/>
  <c r="BX42" i="9"/>
  <c r="BX34" i="9"/>
  <c r="BX35" i="9"/>
  <c r="BX36" i="9"/>
  <c r="BX37" i="9"/>
  <c r="BY12" i="3"/>
  <c r="BY16" i="3" s="1"/>
  <c r="B9" i="27"/>
  <c r="B18" i="27" s="1"/>
  <c r="B8" i="27"/>
  <c r="B17" i="27" s="1"/>
  <c r="B2" i="32"/>
  <c r="A2" i="27"/>
  <c r="D44" i="1"/>
  <c r="D59" i="1"/>
  <c r="D47" i="1"/>
  <c r="D50" i="1"/>
  <c r="D53" i="1"/>
  <c r="D56" i="1"/>
  <c r="D66" i="1"/>
  <c r="D43" i="1"/>
  <c r="H70" i="1"/>
  <c r="C10" i="32"/>
  <c r="I70" i="1"/>
  <c r="D10" i="32"/>
  <c r="E10" i="32"/>
  <c r="F10" i="32"/>
  <c r="G10" i="32"/>
  <c r="H10" i="32"/>
  <c r="I10" i="32"/>
  <c r="J10" i="32"/>
  <c r="K10" i="32"/>
  <c r="L10" i="32"/>
  <c r="M10" i="32"/>
  <c r="N10" i="32"/>
  <c r="O10" i="32"/>
  <c r="C24" i="5"/>
  <c r="E24" i="5" s="1"/>
  <c r="C12" i="32"/>
  <c r="D12" i="32"/>
  <c r="E12" i="32"/>
  <c r="F12" i="32"/>
  <c r="G12" i="32"/>
  <c r="H12" i="32"/>
  <c r="J12" i="32"/>
  <c r="K12" i="32"/>
  <c r="L12" i="32"/>
  <c r="M12" i="32"/>
  <c r="N12" i="32"/>
  <c r="C13" i="32"/>
  <c r="D13" i="32"/>
  <c r="E13" i="32"/>
  <c r="K68" i="1"/>
  <c r="F13" i="32"/>
  <c r="L68" i="1"/>
  <c r="G13" i="32"/>
  <c r="M68" i="1"/>
  <c r="H13" i="32"/>
  <c r="I13" i="32"/>
  <c r="J13" i="32"/>
  <c r="K13" i="32"/>
  <c r="L13" i="32"/>
  <c r="M13" i="32"/>
  <c r="N13" i="32"/>
  <c r="O13" i="32"/>
  <c r="C27" i="5"/>
  <c r="E27" i="5" s="1"/>
  <c r="E10" i="5"/>
  <c r="B102" i="1"/>
  <c r="A32" i="13"/>
  <c r="A63" i="13" s="1"/>
  <c r="A31" i="13"/>
  <c r="A62" i="13" s="1"/>
  <c r="D33" i="5"/>
  <c r="B10" i="5"/>
  <c r="D10" i="5"/>
  <c r="G31" i="16"/>
  <c r="G32" i="16"/>
  <c r="G33" i="16"/>
  <c r="G34" i="16"/>
  <c r="G35" i="16"/>
  <c r="G36" i="16"/>
  <c r="G37" i="16"/>
  <c r="G38" i="16"/>
  <c r="G30" i="16"/>
  <c r="G29" i="16"/>
  <c r="K17" i="16"/>
  <c r="K22" i="16"/>
  <c r="N10" i="3"/>
  <c r="Z10" i="3"/>
  <c r="AL10" i="3" s="1"/>
  <c r="AX10" i="3"/>
  <c r="BJ10" i="3" s="1"/>
  <c r="BV10" i="3" s="1"/>
  <c r="G10" i="3"/>
  <c r="S10" i="3" s="1"/>
  <c r="AE10" i="3" s="1"/>
  <c r="AQ10" i="3" s="1"/>
  <c r="BC10" i="3" s="1"/>
  <c r="BO10" i="3" s="1"/>
  <c r="H10" i="3"/>
  <c r="T10" i="3" s="1"/>
  <c r="I10" i="3"/>
  <c r="U10" i="3" s="1"/>
  <c r="J10" i="3"/>
  <c r="V10" i="3"/>
  <c r="AH10" i="3" s="1"/>
  <c r="AT10" i="3" s="1"/>
  <c r="BF10" i="3" s="1"/>
  <c r="BR10" i="3" s="1"/>
  <c r="K10" i="3"/>
  <c r="W10" i="3" s="1"/>
  <c r="AI10" i="3" s="1"/>
  <c r="AU10" i="3" s="1"/>
  <c r="BG10" i="3" s="1"/>
  <c r="BS10" i="3" s="1"/>
  <c r="L10" i="3"/>
  <c r="X10" i="3" s="1"/>
  <c r="AJ10" i="3"/>
  <c r="AV10" i="3" s="1"/>
  <c r="BH10" i="3" s="1"/>
  <c r="BT10" i="3" s="1"/>
  <c r="M10" i="3"/>
  <c r="Y10" i="3" s="1"/>
  <c r="AK10" i="3"/>
  <c r="AW10" i="3" s="1"/>
  <c r="BI10" i="3" s="1"/>
  <c r="BU10" i="3" s="1"/>
  <c r="F10" i="3"/>
  <c r="R10" i="3" s="1"/>
  <c r="AD10" i="3" s="1"/>
  <c r="AP10" i="3" s="1"/>
  <c r="BB10" i="3" s="1"/>
  <c r="BN10" i="3" s="1"/>
  <c r="D10" i="3"/>
  <c r="P10" i="3"/>
  <c r="AB10" i="3" s="1"/>
  <c r="AN10" i="3" s="1"/>
  <c r="E10" i="3"/>
  <c r="Q10" i="3"/>
  <c r="AC10" i="3"/>
  <c r="AO10" i="3" s="1"/>
  <c r="BA10" i="3" s="1"/>
  <c r="BM10" i="3" s="1"/>
  <c r="BY10" i="3" s="1"/>
  <c r="C10" i="3"/>
  <c r="O10" i="3"/>
  <c r="AA10" i="3"/>
  <c r="AM10" i="3" s="1"/>
  <c r="AY10" i="3" s="1"/>
  <c r="BK10" i="3" s="1"/>
  <c r="BW10" i="3" s="1"/>
  <c r="B149" i="1"/>
  <c r="T60" i="1"/>
  <c r="U60" i="1"/>
  <c r="T61" i="1"/>
  <c r="U61" i="1"/>
  <c r="T62" i="1"/>
  <c r="U62" i="1"/>
  <c r="T63" i="1"/>
  <c r="U63" i="1"/>
  <c r="T64" i="1"/>
  <c r="U64" i="1"/>
  <c r="T65" i="1"/>
  <c r="U65" i="1"/>
  <c r="T57" i="1"/>
  <c r="U57" i="1"/>
  <c r="T58" i="1"/>
  <c r="U58" i="1"/>
  <c r="T54" i="1"/>
  <c r="U54" i="1"/>
  <c r="T55" i="1"/>
  <c r="U55" i="1"/>
  <c r="T51" i="1"/>
  <c r="U51" i="1"/>
  <c r="T52" i="1"/>
  <c r="U52" i="1"/>
  <c r="T48" i="1"/>
  <c r="U48" i="1"/>
  <c r="T49" i="1"/>
  <c r="U49" i="1"/>
  <c r="B79" i="1"/>
  <c r="B80" i="1"/>
  <c r="C80" i="1"/>
  <c r="D80" i="1"/>
  <c r="E80" i="1"/>
  <c r="B96" i="1"/>
  <c r="N95" i="1"/>
  <c r="AG10" i="3"/>
  <c r="AS10" i="3" s="1"/>
  <c r="BE10" i="3" s="1"/>
  <c r="BQ10" i="3" s="1"/>
  <c r="AF10" i="3"/>
  <c r="AR10" i="3" s="1"/>
  <c r="BD10" i="3" s="1"/>
  <c r="BP10" i="3" s="1"/>
  <c r="C96" i="1"/>
  <c r="D96" i="1"/>
  <c r="E96" i="1" s="1"/>
  <c r="F96" i="1" s="1"/>
  <c r="G96" i="1" s="1"/>
  <c r="H96" i="1" s="1"/>
  <c r="I96" i="1" s="1"/>
  <c r="J96" i="1" s="1"/>
  <c r="C79" i="1"/>
  <c r="D79" i="1"/>
  <c r="E79" i="1"/>
  <c r="F80" i="1"/>
  <c r="A53" i="13"/>
  <c r="B111" i="1"/>
  <c r="C111" i="1"/>
  <c r="D111" i="1"/>
  <c r="E111" i="1"/>
  <c r="F111" i="1"/>
  <c r="G111" i="1"/>
  <c r="H111" i="1"/>
  <c r="AZ10" i="3"/>
  <c r="BL10" i="3" s="1"/>
  <c r="BX10" i="3" s="1"/>
  <c r="G80" i="1"/>
  <c r="F79" i="1"/>
  <c r="B73" i="5"/>
  <c r="A17" i="4"/>
  <c r="A57" i="4"/>
  <c r="A18" i="4"/>
  <c r="H80" i="1"/>
  <c r="G79" i="1"/>
  <c r="I80" i="1"/>
  <c r="H79" i="1"/>
  <c r="I79" i="1"/>
  <c r="J80" i="1"/>
  <c r="J79" i="1"/>
  <c r="K80" i="1"/>
  <c r="K79" i="1"/>
  <c r="L80" i="1"/>
  <c r="M80" i="1"/>
  <c r="L79" i="1"/>
  <c r="N80" i="1"/>
  <c r="M79" i="1"/>
  <c r="N79" i="1"/>
  <c r="B66" i="13"/>
  <c r="A52" i="4"/>
  <c r="E12" i="4"/>
  <c r="E22" i="10"/>
  <c r="F12" i="4"/>
  <c r="F22" i="10"/>
  <c r="G12" i="4"/>
  <c r="G22" i="10"/>
  <c r="G71" i="5"/>
  <c r="C12" i="4"/>
  <c r="C22" i="10"/>
  <c r="H71" i="5"/>
  <c r="D12" i="4"/>
  <c r="D22" i="10"/>
  <c r="I71" i="5"/>
  <c r="J71" i="5"/>
  <c r="K71" i="5"/>
  <c r="L71" i="5"/>
  <c r="H12" i="4"/>
  <c r="H22" i="10"/>
  <c r="M71" i="5"/>
  <c r="I12" i="4"/>
  <c r="I22" i="10"/>
  <c r="N71" i="5"/>
  <c r="J12" i="4"/>
  <c r="J22" i="10"/>
  <c r="B22" i="10"/>
  <c r="O27" i="32"/>
  <c r="F57" i="5"/>
  <c r="A58" i="4"/>
  <c r="A29" i="4"/>
  <c r="A69" i="4"/>
  <c r="A81" i="4"/>
  <c r="A30" i="4"/>
  <c r="A70" i="4"/>
  <c r="A82" i="4"/>
  <c r="A31" i="4"/>
  <c r="A71" i="4"/>
  <c r="A83" i="4"/>
  <c r="A54" i="4"/>
  <c r="A34" i="4"/>
  <c r="A74" i="4"/>
  <c r="A33" i="4"/>
  <c r="A73" i="4"/>
  <c r="A32" i="4"/>
  <c r="A72" i="4"/>
  <c r="A28" i="4"/>
  <c r="A68" i="4"/>
  <c r="A26" i="4"/>
  <c r="A66" i="4"/>
  <c r="A27" i="4"/>
  <c r="A67" i="4"/>
  <c r="A25" i="4"/>
  <c r="A16" i="4"/>
  <c r="A56" i="4"/>
  <c r="A19" i="4"/>
  <c r="A59" i="4"/>
  <c r="A80" i="4"/>
  <c r="A20" i="4"/>
  <c r="A60" i="4"/>
  <c r="A21" i="4"/>
  <c r="A61" i="4"/>
  <c r="A22" i="4"/>
  <c r="A62" i="4"/>
  <c r="A23" i="4"/>
  <c r="A63" i="4"/>
  <c r="A2" i="4"/>
  <c r="A2" i="9"/>
  <c r="A2" i="3"/>
  <c r="A10" i="9"/>
  <c r="A34" i="9"/>
  <c r="A11" i="9"/>
  <c r="A35" i="9"/>
  <c r="A12" i="9"/>
  <c r="A36" i="9"/>
  <c r="A13" i="9"/>
  <c r="A37" i="9"/>
  <c r="A14" i="9"/>
  <c r="A38" i="9"/>
  <c r="A15" i="9"/>
  <c r="A39" i="9"/>
  <c r="A16" i="9"/>
  <c r="A40" i="9"/>
  <c r="A17" i="9"/>
  <c r="A41" i="9"/>
  <c r="A18" i="9"/>
  <c r="A42" i="9"/>
  <c r="A19" i="9"/>
  <c r="A43" i="9"/>
  <c r="A20" i="9"/>
  <c r="A44" i="9"/>
  <c r="A21" i="9"/>
  <c r="A45" i="9"/>
  <c r="A22" i="9"/>
  <c r="A46" i="9"/>
  <c r="A23" i="9"/>
  <c r="A47" i="9"/>
  <c r="A24" i="9"/>
  <c r="A48" i="9"/>
  <c r="A25" i="9"/>
  <c r="A49" i="9"/>
  <c r="A26" i="9"/>
  <c r="A50" i="9"/>
  <c r="A27" i="9"/>
  <c r="A51" i="9"/>
  <c r="A9" i="9"/>
  <c r="A33" i="9"/>
  <c r="E214" i="1"/>
  <c r="E213" i="1"/>
  <c r="A213" i="1"/>
  <c r="E204" i="1"/>
  <c r="E206" i="1"/>
  <c r="E205" i="1"/>
  <c r="G57" i="5"/>
  <c r="A68" i="9"/>
  <c r="A98" i="9"/>
  <c r="A64" i="9"/>
  <c r="A94" i="9"/>
  <c r="A72" i="9"/>
  <c r="A102" i="9"/>
  <c r="A60" i="9"/>
  <c r="A90" i="9"/>
  <c r="A76" i="9"/>
  <c r="A106" i="9"/>
  <c r="A75" i="9"/>
  <c r="A105" i="9"/>
  <c r="A67" i="9"/>
  <c r="A97" i="9"/>
  <c r="A59" i="9"/>
  <c r="A89" i="9"/>
  <c r="A74" i="9"/>
  <c r="A104" i="9"/>
  <c r="A66" i="9"/>
  <c r="A96" i="9"/>
  <c r="A73" i="9"/>
  <c r="A103" i="9"/>
  <c r="A65" i="9"/>
  <c r="A95" i="9"/>
  <c r="A63" i="9"/>
  <c r="A93" i="9"/>
  <c r="A70" i="9"/>
  <c r="A100" i="9"/>
  <c r="A62" i="9"/>
  <c r="A92" i="9"/>
  <c r="A71" i="9"/>
  <c r="A101" i="9"/>
  <c r="A58" i="9"/>
  <c r="A69" i="9"/>
  <c r="A99" i="9"/>
  <c r="A61" i="9"/>
  <c r="A91" i="9"/>
  <c r="C14" i="9"/>
  <c r="C19" i="9"/>
  <c r="B9" i="9"/>
  <c r="B14" i="9"/>
  <c r="C24" i="9"/>
  <c r="B19" i="9"/>
  <c r="B24" i="9"/>
  <c r="C9" i="9"/>
  <c r="C28" i="9" s="1"/>
  <c r="C171" i="1"/>
  <c r="B171" i="1"/>
  <c r="C166" i="1"/>
  <c r="B166" i="1"/>
  <c r="C161" i="1"/>
  <c r="B161" i="1"/>
  <c r="C156" i="1"/>
  <c r="B156" i="1"/>
  <c r="A125" i="1"/>
  <c r="A126" i="1"/>
  <c r="A211" i="1"/>
  <c r="A124" i="1"/>
  <c r="E133" i="1"/>
  <c r="H133" i="1"/>
  <c r="I133" i="1"/>
  <c r="J133" i="1"/>
  <c r="L133" i="1"/>
  <c r="M133" i="1"/>
  <c r="N133" i="1"/>
  <c r="E196" i="1"/>
  <c r="E201" i="1"/>
  <c r="E200" i="1"/>
  <c r="E199" i="1"/>
  <c r="C37" i="14"/>
  <c r="B16" i="22"/>
  <c r="B8" i="22"/>
  <c r="B8" i="10"/>
  <c r="B9" i="4"/>
  <c r="B9" i="13"/>
  <c r="B9" i="10"/>
  <c r="B9" i="14" s="1"/>
  <c r="B9" i="22"/>
  <c r="B87" i="9"/>
  <c r="B78" i="4"/>
  <c r="B31" i="9"/>
  <c r="AI48" i="9"/>
  <c r="Y48" i="9"/>
  <c r="BO48" i="9"/>
  <c r="BG43" i="9"/>
  <c r="BA43" i="9"/>
  <c r="AF38" i="9"/>
  <c r="AF43" i="9"/>
  <c r="BI33" i="9"/>
  <c r="E43" i="9"/>
  <c r="AX33" i="9"/>
  <c r="AL38" i="9"/>
  <c r="AW38" i="9"/>
  <c r="Z38" i="9"/>
  <c r="BX38" i="9"/>
  <c r="I48" i="9"/>
  <c r="X48" i="9"/>
  <c r="BX43" i="9"/>
  <c r="AP43" i="9"/>
  <c r="AV43" i="9"/>
  <c r="BC43" i="9"/>
  <c r="AP33" i="9"/>
  <c r="Y43" i="9"/>
  <c r="X38" i="9"/>
  <c r="BX48" i="9"/>
  <c r="Z48" i="9"/>
  <c r="AG48" i="9"/>
  <c r="AT48" i="9"/>
  <c r="BF33" i="9"/>
  <c r="BP48" i="9"/>
  <c r="BB38" i="9"/>
  <c r="AU38" i="9"/>
  <c r="T38" i="9"/>
  <c r="BH48" i="9"/>
  <c r="BU48" i="9"/>
  <c r="O48" i="9"/>
  <c r="V48" i="9"/>
  <c r="AS48" i="9"/>
  <c r="R38" i="9"/>
  <c r="AR48" i="9"/>
  <c r="BF48" i="9"/>
  <c r="Q33" i="9"/>
  <c r="X33" i="9"/>
  <c r="AE33" i="9"/>
  <c r="C48" i="9"/>
  <c r="AA48" i="9"/>
  <c r="AH33" i="9"/>
  <c r="BH33" i="9"/>
  <c r="BH52" i="9" s="1"/>
  <c r="Z43" i="9"/>
  <c r="AR43" i="9"/>
  <c r="AO38" i="9"/>
  <c r="Z33" i="9"/>
  <c r="I43" i="9"/>
  <c r="BE38" i="9"/>
  <c r="Q38" i="9"/>
  <c r="P33" i="9"/>
  <c r="P52" i="9" s="1"/>
  <c r="W33" i="9"/>
  <c r="AD33" i="9"/>
  <c r="AA43" i="9"/>
  <c r="W43" i="9"/>
  <c r="AC43" i="9"/>
  <c r="AB43" i="9"/>
  <c r="BD48" i="9"/>
  <c r="AG38" i="9"/>
  <c r="AQ48" i="9"/>
  <c r="AK43" i="9"/>
  <c r="AK38" i="9"/>
  <c r="BN43" i="9"/>
  <c r="BN33" i="9"/>
  <c r="AW43" i="9"/>
  <c r="S48" i="9"/>
  <c r="AX38" i="9"/>
  <c r="BK38" i="9"/>
  <c r="N38" i="9"/>
  <c r="U38" i="9"/>
  <c r="AJ38" i="9"/>
  <c r="AM48" i="9"/>
  <c r="BJ38" i="9"/>
  <c r="BI48" i="9"/>
  <c r="BL48" i="9"/>
  <c r="I33" i="9"/>
  <c r="BF43" i="9"/>
  <c r="BL43" i="9"/>
  <c r="BS43" i="9"/>
  <c r="G43" i="9"/>
  <c r="AC33" i="9"/>
  <c r="BB43" i="9"/>
  <c r="AD38" i="9"/>
  <c r="BC38" i="9"/>
  <c r="AB38" i="9"/>
  <c r="R48" i="9"/>
  <c r="AE48" i="9"/>
  <c r="AN48" i="9"/>
  <c r="AX43" i="9"/>
  <c r="BD43" i="9"/>
  <c r="BK43" i="9"/>
  <c r="AT43" i="9"/>
  <c r="W48" i="9"/>
  <c r="BO38" i="9"/>
  <c r="AO43" i="9"/>
  <c r="AQ38" i="9"/>
  <c r="U33" i="9"/>
  <c r="AL48" i="9"/>
  <c r="B38" i="9"/>
  <c r="BT43" i="9"/>
  <c r="H43" i="9"/>
  <c r="O43" i="9"/>
  <c r="U43" i="9"/>
  <c r="T43" i="9"/>
  <c r="AK33" i="9"/>
  <c r="BJ43" i="9"/>
  <c r="BT48" i="9"/>
  <c r="BM38" i="9"/>
  <c r="BU38" i="9"/>
  <c r="BF38" i="9"/>
  <c r="BS38" i="9"/>
  <c r="G38" i="9"/>
  <c r="AC38" i="9"/>
  <c r="AR38" i="9"/>
  <c r="T48" i="9"/>
  <c r="AH48" i="9"/>
  <c r="AO48" i="9"/>
  <c r="AU48" i="9"/>
  <c r="BB48" i="9"/>
  <c r="AQ43" i="9"/>
  <c r="AF33" i="9"/>
  <c r="AF52" i="9" s="1"/>
  <c r="AM33" i="9"/>
  <c r="BP33" i="9"/>
  <c r="D33" i="9"/>
  <c r="S33" i="9"/>
  <c r="BW38" i="9"/>
  <c r="BT38" i="9"/>
  <c r="BL38" i="9"/>
  <c r="Y38" i="9"/>
  <c r="U48" i="9"/>
  <c r="BW33" i="9"/>
  <c r="D43" i="9"/>
  <c r="V38" i="9"/>
  <c r="D48" i="9"/>
  <c r="C33" i="9"/>
  <c r="BI43" i="9"/>
  <c r="BH43" i="9"/>
  <c r="AL43" i="9"/>
  <c r="AI43" i="9"/>
  <c r="BR38" i="9"/>
  <c r="AH38" i="9"/>
  <c r="BQ38" i="9"/>
  <c r="E38" i="9"/>
  <c r="BV48" i="9"/>
  <c r="Q48" i="9"/>
  <c r="AD48" i="9"/>
  <c r="AF48" i="9"/>
  <c r="BT33" i="9"/>
  <c r="H33" i="9"/>
  <c r="O33" i="9"/>
  <c r="V33" i="9"/>
  <c r="AR33" i="9"/>
  <c r="AR52" i="9" s="1"/>
  <c r="BG33" i="9"/>
  <c r="B33" i="9"/>
  <c r="H38" i="9"/>
  <c r="F38" i="9"/>
  <c r="B43" i="9"/>
  <c r="BO43" i="9"/>
  <c r="AY43" i="9"/>
  <c r="AH43" i="9"/>
  <c r="AN43" i="9"/>
  <c r="AU43" i="9"/>
  <c r="AZ43" i="9"/>
  <c r="E48" i="9"/>
  <c r="BQ33" i="9"/>
  <c r="E33" i="9"/>
  <c r="Q43" i="9"/>
  <c r="AD43" i="9"/>
  <c r="AM38" i="9"/>
  <c r="BI38" i="9"/>
  <c r="AZ48" i="9"/>
  <c r="BN48" i="9"/>
  <c r="BA48" i="9"/>
  <c r="BL33" i="9"/>
  <c r="BS33" i="9"/>
  <c r="G33" i="9"/>
  <c r="N33" i="9"/>
  <c r="AJ33" i="9"/>
  <c r="AY33" i="9"/>
  <c r="P48" i="9"/>
  <c r="AN38" i="9"/>
  <c r="AG43" i="9"/>
  <c r="AZ33" i="9"/>
  <c r="BW43" i="9"/>
  <c r="AM43" i="9"/>
  <c r="AS43" i="9"/>
  <c r="BU43" i="9"/>
  <c r="V43" i="9"/>
  <c r="H48" i="9"/>
  <c r="I38" i="9"/>
  <c r="AE38" i="9"/>
  <c r="BA38" i="9"/>
  <c r="BP38" i="9"/>
  <c r="D38" i="9"/>
  <c r="BM48" i="9"/>
  <c r="BS48" i="9"/>
  <c r="G48" i="9"/>
  <c r="N48" i="9"/>
  <c r="BW48" i="9"/>
  <c r="B48" i="9"/>
  <c r="BD33" i="9"/>
  <c r="BK33" i="9"/>
  <c r="F33" i="9"/>
  <c r="AB33" i="9"/>
  <c r="AQ33" i="9"/>
  <c r="AQ52" i="9" s="1"/>
  <c r="AK48" i="9"/>
  <c r="BD38" i="9"/>
  <c r="AV38" i="9"/>
  <c r="S38" i="9"/>
  <c r="BP43" i="9"/>
  <c r="R43" i="9"/>
  <c r="X43" i="9"/>
  <c r="AE43" i="9"/>
  <c r="AJ43" i="9"/>
  <c r="AV48" i="9"/>
  <c r="R33" i="9"/>
  <c r="BA33" i="9"/>
  <c r="BM43" i="9"/>
  <c r="N43" i="9"/>
  <c r="AT38" i="9"/>
  <c r="AC48" i="9"/>
  <c r="BV38" i="9"/>
  <c r="W38" i="9"/>
  <c r="AS38" i="9"/>
  <c r="BH38" i="9"/>
  <c r="AJ48" i="9"/>
  <c r="AX48" i="9"/>
  <c r="BE48" i="9"/>
  <c r="BK48" i="9"/>
  <c r="BR48" i="9"/>
  <c r="F48" i="9"/>
  <c r="C38" i="9"/>
  <c r="AV33" i="9"/>
  <c r="BC33" i="9"/>
  <c r="BJ33" i="9"/>
  <c r="T33" i="9"/>
  <c r="T52" i="9" s="1"/>
  <c r="AI33" i="9"/>
  <c r="BG48" i="9"/>
  <c r="AI38" i="9"/>
  <c r="AA38" i="9"/>
  <c r="AY38" i="9"/>
  <c r="S43" i="9"/>
  <c r="BQ43" i="9"/>
  <c r="AP38" i="9"/>
  <c r="BO33" i="9"/>
  <c r="B32" i="9"/>
  <c r="B56" i="9"/>
  <c r="C43" i="9"/>
  <c r="BV43" i="9"/>
  <c r="P43" i="9"/>
  <c r="BQ48" i="9"/>
  <c r="BV33" i="9"/>
  <c r="BV52" i="9" s="1"/>
  <c r="J33" i="9"/>
  <c r="J52" i="9" s="1"/>
  <c r="AS33" i="9"/>
  <c r="BE43" i="9"/>
  <c r="BR43" i="9"/>
  <c r="F43" i="9"/>
  <c r="AY48" i="9"/>
  <c r="BN38" i="9"/>
  <c r="O38" i="9"/>
  <c r="AZ38" i="9"/>
  <c r="AB48" i="9"/>
  <c r="AP48" i="9"/>
  <c r="AW48" i="9"/>
  <c r="BC48" i="9"/>
  <c r="BJ48" i="9"/>
  <c r="BG38" i="9"/>
  <c r="AO33" i="9"/>
  <c r="AN33" i="9"/>
  <c r="AN52" i="9" s="1"/>
  <c r="AU33" i="9"/>
  <c r="BB33" i="9"/>
  <c r="BX33" i="9"/>
  <c r="AA33" i="9"/>
  <c r="P38" i="9"/>
  <c r="B28" i="9"/>
  <c r="B175" i="1"/>
  <c r="E198" i="1"/>
  <c r="E195" i="1"/>
  <c r="E197" i="1"/>
  <c r="O133" i="1"/>
  <c r="G133" i="1"/>
  <c r="K133" i="1"/>
  <c r="F133" i="1"/>
  <c r="B135" i="1"/>
  <c r="D133" i="1"/>
  <c r="B2" i="5"/>
  <c r="D11" i="5"/>
  <c r="D25" i="5"/>
  <c r="B33" i="5"/>
  <c r="B71" i="5"/>
  <c r="H24" i="5"/>
  <c r="I24" i="5"/>
  <c r="J24" i="5"/>
  <c r="K24" i="5"/>
  <c r="L24" i="5"/>
  <c r="M24" i="5"/>
  <c r="N24" i="5"/>
  <c r="O24" i="5"/>
  <c r="P24" i="5"/>
  <c r="Q24" i="5"/>
  <c r="G26" i="5"/>
  <c r="H26" i="5"/>
  <c r="I26" i="5"/>
  <c r="J26" i="5"/>
  <c r="K26" i="5"/>
  <c r="O26" i="5"/>
  <c r="P26" i="5"/>
  <c r="Q26" i="5"/>
  <c r="G27" i="5"/>
  <c r="H27" i="5"/>
  <c r="L27" i="5"/>
  <c r="M27" i="5"/>
  <c r="N27" i="5"/>
  <c r="O27" i="5"/>
  <c r="P27" i="5"/>
  <c r="Q27" i="5"/>
  <c r="I12" i="5"/>
  <c r="J12" i="5"/>
  <c r="K12" i="5"/>
  <c r="L12" i="5"/>
  <c r="M12" i="5"/>
  <c r="N12" i="5"/>
  <c r="O12" i="5"/>
  <c r="P12" i="5"/>
  <c r="Q12" i="5"/>
  <c r="F26" i="5"/>
  <c r="F27" i="5"/>
  <c r="F12" i="5"/>
  <c r="F8" i="5"/>
  <c r="F9" i="5"/>
  <c r="G9" i="5"/>
  <c r="O11" i="32"/>
  <c r="O14" i="32"/>
  <c r="B11" i="5"/>
  <c r="B12" i="5"/>
  <c r="B59" i="5"/>
  <c r="B24" i="5"/>
  <c r="B22" i="32"/>
  <c r="B19" i="5"/>
  <c r="B66" i="5"/>
  <c r="B23" i="32"/>
  <c r="B20" i="5"/>
  <c r="B67" i="5"/>
  <c r="B24" i="32"/>
  <c r="B21" i="5"/>
  <c r="B68" i="5"/>
  <c r="B25" i="32"/>
  <c r="B22" i="5"/>
  <c r="B69" i="5"/>
  <c r="B26" i="32"/>
  <c r="B23" i="5"/>
  <c r="B70" i="5"/>
  <c r="B21" i="32"/>
  <c r="B18" i="5"/>
  <c r="B65" i="5"/>
  <c r="B20" i="32"/>
  <c r="B17" i="5"/>
  <c r="B64" i="5"/>
  <c r="B19" i="32"/>
  <c r="B16" i="5"/>
  <c r="B63" i="5"/>
  <c r="B18" i="32"/>
  <c r="B15" i="5"/>
  <c r="B62" i="5"/>
  <c r="B17" i="32"/>
  <c r="B14" i="5"/>
  <c r="B61" i="5"/>
  <c r="B16" i="32"/>
  <c r="B13" i="5"/>
  <c r="B60" i="5"/>
  <c r="C8" i="32"/>
  <c r="T47" i="1"/>
  <c r="U47" i="1"/>
  <c r="T50" i="1"/>
  <c r="U50" i="1"/>
  <c r="P16" i="5"/>
  <c r="Q16" i="5"/>
  <c r="T53" i="1"/>
  <c r="U53" i="1"/>
  <c r="T56" i="1"/>
  <c r="U56" i="1"/>
  <c r="R59" i="1"/>
  <c r="S59" i="1"/>
  <c r="T59" i="1"/>
  <c r="U59" i="1"/>
  <c r="R66" i="1"/>
  <c r="S66" i="1"/>
  <c r="T66" i="1"/>
  <c r="U66" i="1"/>
  <c r="J16" i="5"/>
  <c r="L16" i="5"/>
  <c r="O16" i="5"/>
  <c r="L59" i="1"/>
  <c r="M59" i="1"/>
  <c r="N59" i="1"/>
  <c r="O59" i="1"/>
  <c r="P59" i="1"/>
  <c r="Q66" i="1"/>
  <c r="H40" i="1"/>
  <c r="H41" i="1"/>
  <c r="I41" i="1"/>
  <c r="F16" i="5"/>
  <c r="G16" i="5"/>
  <c r="H16" i="5"/>
  <c r="I16" i="5"/>
  <c r="H59" i="1"/>
  <c r="I59" i="1"/>
  <c r="J59" i="1"/>
  <c r="K59" i="1"/>
  <c r="G66" i="1"/>
  <c r="H66" i="1"/>
  <c r="I66" i="1"/>
  <c r="J66" i="1"/>
  <c r="B13" i="32"/>
  <c r="B27" i="5"/>
  <c r="B12" i="32"/>
  <c r="B26" i="5"/>
  <c r="B11" i="32"/>
  <c r="B25" i="5"/>
  <c r="C9" i="32"/>
  <c r="D9" i="32"/>
  <c r="E9" i="32"/>
  <c r="F9" i="32"/>
  <c r="G9" i="32"/>
  <c r="H9" i="32"/>
  <c r="I9" i="32"/>
  <c r="J9" i="32"/>
  <c r="K9" i="32"/>
  <c r="L9" i="32"/>
  <c r="M9" i="32"/>
  <c r="N9" i="32"/>
  <c r="H19" i="5"/>
  <c r="J21" i="5"/>
  <c r="G22" i="5"/>
  <c r="L23" i="5"/>
  <c r="K18" i="5"/>
  <c r="B80" i="33"/>
  <c r="B77" i="33"/>
  <c r="B76" i="33"/>
  <c r="B75" i="33"/>
  <c r="B74" i="33"/>
  <c r="B72" i="33"/>
  <c r="B71" i="33"/>
  <c r="B70" i="33"/>
  <c r="B69" i="33"/>
  <c r="B68" i="33"/>
  <c r="B67" i="33"/>
  <c r="B66" i="33"/>
  <c r="B65" i="33"/>
  <c r="B64" i="33"/>
  <c r="B63" i="33"/>
  <c r="B62" i="33"/>
  <c r="B60" i="33"/>
  <c r="B59" i="33"/>
  <c r="B58" i="33"/>
  <c r="B57" i="33"/>
  <c r="B56" i="33"/>
  <c r="B55" i="33"/>
  <c r="B54" i="33"/>
  <c r="B53" i="33"/>
  <c r="B52" i="33"/>
  <c r="B51" i="33"/>
  <c r="B50" i="33"/>
  <c r="B49" i="33"/>
  <c r="B48" i="33"/>
  <c r="B47" i="33"/>
  <c r="B46" i="33"/>
  <c r="B45" i="33"/>
  <c r="B43" i="33"/>
  <c r="B42" i="33"/>
  <c r="B41" i="33"/>
  <c r="B40" i="33"/>
  <c r="B39" i="33"/>
  <c r="B38" i="33"/>
  <c r="B37" i="33"/>
  <c r="B35" i="33"/>
  <c r="B34" i="33"/>
  <c r="B32" i="33"/>
  <c r="B31" i="33"/>
  <c r="B29" i="33"/>
  <c r="B28" i="33"/>
  <c r="B11" i="33"/>
  <c r="B9" i="33"/>
  <c r="B8" i="33"/>
  <c r="B7" i="33"/>
  <c r="B5" i="33"/>
  <c r="B79" i="33"/>
  <c r="B81" i="33"/>
  <c r="T45" i="1"/>
  <c r="U45" i="1"/>
  <c r="T46" i="1"/>
  <c r="U46" i="1"/>
  <c r="H57" i="5"/>
  <c r="I57" i="5"/>
  <c r="E194" i="1"/>
  <c r="C86" i="4"/>
  <c r="C9" i="22"/>
  <c r="C9" i="10"/>
  <c r="C9" i="14" s="1"/>
  <c r="D37" i="14"/>
  <c r="C16" i="22"/>
  <c r="P25" i="5"/>
  <c r="F25" i="5"/>
  <c r="H25" i="5"/>
  <c r="G25" i="5"/>
  <c r="Q25" i="5"/>
  <c r="O25" i="5"/>
  <c r="AH52" i="9"/>
  <c r="C87" i="9"/>
  <c r="C32" i="9"/>
  <c r="C56" i="9" s="1"/>
  <c r="BX52" i="9"/>
  <c r="AS52" i="9"/>
  <c r="BI52" i="9"/>
  <c r="AV52" i="9"/>
  <c r="BA52" i="9"/>
  <c r="X52" i="9"/>
  <c r="I52" i="9"/>
  <c r="BD52" i="9"/>
  <c r="AX52" i="9"/>
  <c r="BF52" i="9"/>
  <c r="Z52" i="9"/>
  <c r="AO52" i="9"/>
  <c r="AD52" i="9"/>
  <c r="BL52" i="9"/>
  <c r="BC52" i="9"/>
  <c r="AE52" i="9"/>
  <c r="S52" i="9"/>
  <c r="BB52" i="9"/>
  <c r="F52" i="9"/>
  <c r="AZ52" i="9"/>
  <c r="G52" i="9"/>
  <c r="Q52" i="9"/>
  <c r="BO52" i="9"/>
  <c r="W52" i="9"/>
  <c r="E52" i="9"/>
  <c r="BN52" i="9"/>
  <c r="AP52" i="9"/>
  <c r="AC52" i="9"/>
  <c r="BT52" i="9"/>
  <c r="AB52" i="9"/>
  <c r="N52" i="9"/>
  <c r="U52" i="9"/>
  <c r="AU52" i="9"/>
  <c r="BS52" i="9"/>
  <c r="BG52" i="9"/>
  <c r="D52" i="9"/>
  <c r="BK52" i="9"/>
  <c r="BW52" i="9"/>
  <c r="BP52" i="9"/>
  <c r="R52" i="9"/>
  <c r="V52" i="9"/>
  <c r="AI52" i="9"/>
  <c r="BQ52" i="9"/>
  <c r="O52" i="9"/>
  <c r="AM52" i="9"/>
  <c r="AA52" i="9"/>
  <c r="AY52" i="9"/>
  <c r="H52" i="9"/>
  <c r="B52" i="9"/>
  <c r="BJ52" i="9"/>
  <c r="AJ52" i="9"/>
  <c r="C52" i="9"/>
  <c r="AK52" i="9"/>
  <c r="Q18" i="5"/>
  <c r="I18" i="5"/>
  <c r="H21" i="5"/>
  <c r="N19" i="5"/>
  <c r="F23" i="5"/>
  <c r="J23" i="5"/>
  <c r="M22" i="5"/>
  <c r="I40" i="1"/>
  <c r="K23" i="5"/>
  <c r="N22" i="5"/>
  <c r="Q21" i="5"/>
  <c r="I21" i="5"/>
  <c r="O19" i="5"/>
  <c r="G19" i="5"/>
  <c r="J18" i="5"/>
  <c r="Q23" i="5"/>
  <c r="I23" i="5"/>
  <c r="L22" i="5"/>
  <c r="O21" i="5"/>
  <c r="G21" i="5"/>
  <c r="J20" i="5"/>
  <c r="M19" i="5"/>
  <c r="P18" i="5"/>
  <c r="H18" i="5"/>
  <c r="P23" i="5"/>
  <c r="H23" i="5"/>
  <c r="K22" i="5"/>
  <c r="Q20" i="5"/>
  <c r="I20" i="5"/>
  <c r="L19" i="5"/>
  <c r="O18" i="5"/>
  <c r="G18" i="5"/>
  <c r="O23" i="5"/>
  <c r="G23" i="5"/>
  <c r="M21" i="5"/>
  <c r="P20" i="5"/>
  <c r="H20" i="5"/>
  <c r="K19" i="5"/>
  <c r="N18" i="5"/>
  <c r="N23" i="5"/>
  <c r="Q22" i="5"/>
  <c r="L21" i="5"/>
  <c r="G20" i="5"/>
  <c r="J19" i="5"/>
  <c r="M18" i="5"/>
  <c r="M23" i="5"/>
  <c r="P22" i="5"/>
  <c r="H22" i="5"/>
  <c r="K21" i="5"/>
  <c r="Q19" i="5"/>
  <c r="I19" i="5"/>
  <c r="L18" i="5"/>
  <c r="O22" i="5"/>
  <c r="P19" i="5"/>
  <c r="H9" i="5"/>
  <c r="H8" i="5" s="1"/>
  <c r="G8" i="5"/>
  <c r="J41" i="1"/>
  <c r="D8" i="32"/>
  <c r="E8" i="32"/>
  <c r="F8" i="32"/>
  <c r="G8" i="32"/>
  <c r="H8" i="32"/>
  <c r="I8" i="32"/>
  <c r="J8" i="32"/>
  <c r="K8" i="32"/>
  <c r="L8" i="32"/>
  <c r="M8" i="32"/>
  <c r="N8" i="32"/>
  <c r="A204" i="1"/>
  <c r="A209" i="1"/>
  <c r="G13" i="5"/>
  <c r="I13" i="5"/>
  <c r="O66" i="1"/>
  <c r="M26" i="5"/>
  <c r="M25" i="5" s="1"/>
  <c r="M66" i="1"/>
  <c r="K27" i="5"/>
  <c r="K25" i="5"/>
  <c r="F24" i="5"/>
  <c r="G12" i="5"/>
  <c r="P66" i="1"/>
  <c r="N26" i="5"/>
  <c r="N25" i="5" s="1"/>
  <c r="K66" i="1"/>
  <c r="K43" i="1"/>
  <c r="N66" i="1"/>
  <c r="L66" i="1"/>
  <c r="J27" i="5"/>
  <c r="J25" i="5"/>
  <c r="U44" i="1"/>
  <c r="U43" i="1"/>
  <c r="T44" i="1"/>
  <c r="T43" i="1"/>
  <c r="H12" i="5"/>
  <c r="J57" i="5"/>
  <c r="F18" i="5"/>
  <c r="F22" i="5"/>
  <c r="G17" i="5"/>
  <c r="O17" i="5"/>
  <c r="M17" i="5"/>
  <c r="H17" i="5"/>
  <c r="P17" i="5"/>
  <c r="I17" i="5"/>
  <c r="Q17" i="5"/>
  <c r="J17" i="5"/>
  <c r="K17" i="5"/>
  <c r="L17" i="5"/>
  <c r="N17" i="5"/>
  <c r="F20" i="5"/>
  <c r="I14" i="5"/>
  <c r="Q14" i="5"/>
  <c r="J14" i="5"/>
  <c r="L14" i="5"/>
  <c r="F19" i="5"/>
  <c r="I27" i="5"/>
  <c r="I25" i="5"/>
  <c r="K15" i="5"/>
  <c r="L15" i="5"/>
  <c r="M15" i="5"/>
  <c r="I15" i="5"/>
  <c r="N15" i="5"/>
  <c r="G15" i="5"/>
  <c r="O15" i="5"/>
  <c r="Q15" i="5"/>
  <c r="H15" i="5"/>
  <c r="P15" i="5"/>
  <c r="J15" i="5"/>
  <c r="F21" i="5"/>
  <c r="K41" i="1"/>
  <c r="L41" i="1"/>
  <c r="M41" i="1"/>
  <c r="N41" i="1"/>
  <c r="O41" i="1"/>
  <c r="P41" i="1"/>
  <c r="Q41" i="1"/>
  <c r="R41" i="1"/>
  <c r="S41" i="1"/>
  <c r="T41" i="1"/>
  <c r="U41" i="1"/>
  <c r="J40" i="1"/>
  <c r="L26" i="5"/>
  <c r="L25" i="5" s="1"/>
  <c r="H43" i="1"/>
  <c r="C28" i="32"/>
  <c r="D28" i="32"/>
  <c r="I43" i="1"/>
  <c r="K57" i="5"/>
  <c r="N14" i="5"/>
  <c r="P14" i="5"/>
  <c r="H14" i="5"/>
  <c r="K14" i="5"/>
  <c r="G14" i="5"/>
  <c r="G11" i="5"/>
  <c r="F14" i="5"/>
  <c r="F15" i="5"/>
  <c r="O14" i="5"/>
  <c r="M14" i="5"/>
  <c r="F17" i="5"/>
  <c r="K40" i="1"/>
  <c r="L40" i="1"/>
  <c r="M40" i="1"/>
  <c r="N40" i="1"/>
  <c r="O40" i="1"/>
  <c r="P40" i="1"/>
  <c r="Q40" i="1"/>
  <c r="R40" i="1"/>
  <c r="S40" i="1"/>
  <c r="T40" i="1"/>
  <c r="U40" i="1"/>
  <c r="A65" i="4"/>
  <c r="E212" i="1"/>
  <c r="E209" i="1"/>
  <c r="E210" i="1"/>
  <c r="E208" i="1"/>
  <c r="F13" i="5"/>
  <c r="G24" i="5"/>
  <c r="L57" i="5"/>
  <c r="F11" i="5"/>
  <c r="E207" i="1"/>
  <c r="E211" i="1"/>
  <c r="M57" i="5"/>
  <c r="N57" i="5"/>
  <c r="A92" i="4"/>
  <c r="A98" i="4"/>
  <c r="A18" i="3"/>
  <c r="A42" i="3" s="1"/>
  <c r="A32" i="3"/>
  <c r="B18" i="3"/>
  <c r="B42" i="3" s="1"/>
  <c r="A152" i="1"/>
  <c r="A26" i="3"/>
  <c r="B152" i="1"/>
  <c r="B92" i="4"/>
  <c r="B98" i="4"/>
  <c r="O57" i="5"/>
  <c r="B139" i="1"/>
  <c r="B26" i="3"/>
  <c r="B50" i="3"/>
  <c r="A104" i="4"/>
  <c r="P57" i="5"/>
  <c r="Q57" i="5"/>
  <c r="R57" i="5"/>
  <c r="S57" i="5"/>
  <c r="BJ18" i="13"/>
  <c r="BK18" i="13"/>
  <c r="BO18" i="13"/>
  <c r="BP18" i="13"/>
  <c r="BQ18" i="13"/>
  <c r="BR18" i="13"/>
  <c r="BS18" i="13"/>
  <c r="BW18" i="13"/>
  <c r="BX18" i="13"/>
  <c r="T57" i="5"/>
  <c r="U57" i="5"/>
  <c r="V57" i="5"/>
  <c r="W57" i="5"/>
  <c r="X57" i="5"/>
  <c r="Y57" i="5"/>
  <c r="Z57" i="5"/>
  <c r="I17" i="16"/>
  <c r="A17" i="16"/>
  <c r="BI18" i="13"/>
  <c r="AQ18" i="13"/>
  <c r="AR18" i="13"/>
  <c r="AS18" i="13"/>
  <c r="AT18" i="13"/>
  <c r="AU18" i="13"/>
  <c r="AY18" i="13"/>
  <c r="AZ18" i="13"/>
  <c r="BA18" i="13"/>
  <c r="BB18" i="13"/>
  <c r="BC18" i="13"/>
  <c r="BG18" i="13"/>
  <c r="BH18" i="13"/>
  <c r="A19" i="22"/>
  <c r="A20" i="22"/>
  <c r="A18" i="22"/>
  <c r="A15" i="4"/>
  <c r="A55" i="4"/>
  <c r="C8" i="9"/>
  <c r="B150" i="1"/>
  <c r="B151" i="1"/>
  <c r="B148" i="1"/>
  <c r="B132" i="1"/>
  <c r="B144" i="1"/>
  <c r="AA57" i="5"/>
  <c r="B137" i="1"/>
  <c r="B136" i="1"/>
  <c r="B138" i="1"/>
  <c r="E203" i="1"/>
  <c r="AB57" i="5"/>
  <c r="E202" i="1"/>
  <c r="AC57" i="5"/>
  <c r="AD57" i="5"/>
  <c r="AE57" i="5"/>
  <c r="AF57" i="5"/>
  <c r="AG57" i="5"/>
  <c r="AH57" i="5"/>
  <c r="AI57" i="5"/>
  <c r="AJ57" i="5"/>
  <c r="F31" i="16"/>
  <c r="F32" i="16"/>
  <c r="F33" i="16"/>
  <c r="F34" i="16"/>
  <c r="F35" i="16"/>
  <c r="F36" i="16"/>
  <c r="F37" i="16"/>
  <c r="F38" i="16"/>
  <c r="F30" i="16"/>
  <c r="F29" i="16"/>
  <c r="G19" i="16"/>
  <c r="G20" i="16"/>
  <c r="G21" i="16"/>
  <c r="G22" i="16"/>
  <c r="G23" i="16"/>
  <c r="G24" i="16"/>
  <c r="G25" i="16"/>
  <c r="G26" i="16"/>
  <c r="G18" i="16"/>
  <c r="AK57" i="5"/>
  <c r="B141" i="1"/>
  <c r="AL57" i="5"/>
  <c r="AM57" i="5"/>
  <c r="B15" i="3"/>
  <c r="B16" i="3"/>
  <c r="B17" i="3"/>
  <c r="B14" i="3"/>
  <c r="A15" i="3"/>
  <c r="A81" i="9" s="1"/>
  <c r="A111" i="9" s="1"/>
  <c r="A16" i="3"/>
  <c r="A17" i="3"/>
  <c r="A83" i="9"/>
  <c r="A113" i="9" s="1"/>
  <c r="A14" i="3"/>
  <c r="A80" i="9"/>
  <c r="A110" i="9" s="1"/>
  <c r="AN57" i="5"/>
  <c r="AO57" i="5"/>
  <c r="C57" i="29"/>
  <c r="C58" i="29"/>
  <c r="C59" i="29"/>
  <c r="C56" i="29"/>
  <c r="C55" i="29"/>
  <c r="H49" i="29"/>
  <c r="H50" i="29"/>
  <c r="H51" i="29"/>
  <c r="H52" i="29"/>
  <c r="G50" i="29"/>
  <c r="G51" i="29"/>
  <c r="G52" i="29"/>
  <c r="G49" i="29"/>
  <c r="C36" i="29"/>
  <c r="C42" i="29"/>
  <c r="D36" i="29"/>
  <c r="D45" i="29"/>
  <c r="B36" i="29"/>
  <c r="A37" i="29"/>
  <c r="C40" i="29"/>
  <c r="D40" i="29"/>
  <c r="C41" i="29"/>
  <c r="D41" i="29"/>
  <c r="C43" i="29"/>
  <c r="D43" i="29"/>
  <c r="C44" i="29"/>
  <c r="D44" i="29"/>
  <c r="C33" i="29"/>
  <c r="D33" i="29"/>
  <c r="D39" i="29"/>
  <c r="B33" i="29"/>
  <c r="C18" i="29"/>
  <c r="C20" i="29"/>
  <c r="D18" i="29"/>
  <c r="D20" i="29"/>
  <c r="E18" i="29"/>
  <c r="F18" i="29"/>
  <c r="F20" i="29"/>
  <c r="C19" i="29"/>
  <c r="C21" i="29"/>
  <c r="D19" i="29"/>
  <c r="E19" i="29"/>
  <c r="E21" i="29"/>
  <c r="F19" i="29"/>
  <c r="B19" i="29"/>
  <c r="B18" i="29"/>
  <c r="B20" i="29"/>
  <c r="C13" i="29"/>
  <c r="D13" i="29"/>
  <c r="E13" i="29"/>
  <c r="F13" i="29"/>
  <c r="D59" i="29"/>
  <c r="B13" i="29"/>
  <c r="C12" i="29"/>
  <c r="D12" i="29"/>
  <c r="E12" i="29"/>
  <c r="E20" i="29"/>
  <c r="F12" i="29"/>
  <c r="B12" i="29"/>
  <c r="C45" i="29"/>
  <c r="W18" i="13"/>
  <c r="AA18" i="13"/>
  <c r="AB18" i="13"/>
  <c r="AC18" i="13"/>
  <c r="AD18" i="13"/>
  <c r="AE18" i="13"/>
  <c r="AF18" i="13"/>
  <c r="AI18" i="13"/>
  <c r="AJ18" i="13"/>
  <c r="AK18" i="13"/>
  <c r="AL18" i="13"/>
  <c r="AM18" i="13"/>
  <c r="AN18" i="13"/>
  <c r="AO18" i="13"/>
  <c r="A53" i="4"/>
  <c r="G17" i="16"/>
  <c r="E29" i="16"/>
  <c r="E17" i="16"/>
  <c r="D29" i="16"/>
  <c r="A31" i="16"/>
  <c r="A32" i="16"/>
  <c r="A33" i="16"/>
  <c r="A34" i="16"/>
  <c r="A35" i="16"/>
  <c r="A36" i="16"/>
  <c r="A37" i="16"/>
  <c r="A38" i="16"/>
  <c r="A30" i="16"/>
  <c r="B89" i="4"/>
  <c r="B95" i="4"/>
  <c r="B90" i="4"/>
  <c r="B96" i="4"/>
  <c r="B91" i="4"/>
  <c r="B97" i="4"/>
  <c r="B88" i="4"/>
  <c r="B94" i="4"/>
  <c r="A89" i="4"/>
  <c r="A101" i="4"/>
  <c r="A90" i="4"/>
  <c r="A102" i="4"/>
  <c r="A91" i="4"/>
  <c r="A103" i="4"/>
  <c r="A88" i="4"/>
  <c r="A94" i="4"/>
  <c r="B23" i="3"/>
  <c r="B47" i="3"/>
  <c r="B24" i="3"/>
  <c r="B48" i="3" s="1"/>
  <c r="B25" i="3"/>
  <c r="B49" i="3" s="1"/>
  <c r="B22" i="3"/>
  <c r="B46" i="3"/>
  <c r="B39" i="3"/>
  <c r="B40" i="3"/>
  <c r="B41" i="3"/>
  <c r="A28" i="3"/>
  <c r="A149" i="1"/>
  <c r="A150" i="1"/>
  <c r="A151" i="1"/>
  <c r="A25" i="3"/>
  <c r="A148" i="1"/>
  <c r="C19" i="16"/>
  <c r="I19" i="16"/>
  <c r="C20" i="16"/>
  <c r="I20" i="16" s="1"/>
  <c r="C21" i="16"/>
  <c r="I21" i="16"/>
  <c r="C22" i="16"/>
  <c r="I22" i="16"/>
  <c r="C23" i="16"/>
  <c r="E23" i="16" s="1"/>
  <c r="K23" i="16" s="1"/>
  <c r="C24" i="16"/>
  <c r="I24" i="16" s="1"/>
  <c r="C25" i="16"/>
  <c r="I25" i="16" s="1"/>
  <c r="C26" i="16"/>
  <c r="I26" i="16" s="1"/>
  <c r="C18" i="16"/>
  <c r="I18" i="16" s="1"/>
  <c r="A64" i="4"/>
  <c r="B34" i="1"/>
  <c r="B55" i="9"/>
  <c r="E38" i="16"/>
  <c r="D38" i="16"/>
  <c r="C38" i="16"/>
  <c r="B38" i="16"/>
  <c r="E37" i="16"/>
  <c r="D37" i="16"/>
  <c r="C37" i="16"/>
  <c r="B37" i="16"/>
  <c r="E36" i="16"/>
  <c r="D36" i="16"/>
  <c r="C36" i="16"/>
  <c r="B36" i="16"/>
  <c r="E35" i="16"/>
  <c r="D35" i="16"/>
  <c r="C35" i="16"/>
  <c r="B35" i="16"/>
  <c r="E34" i="16"/>
  <c r="D34" i="16"/>
  <c r="C34" i="16"/>
  <c r="B34" i="16"/>
  <c r="E33" i="16"/>
  <c r="D33" i="16"/>
  <c r="C33" i="16"/>
  <c r="B33" i="16"/>
  <c r="E32" i="16"/>
  <c r="D32" i="16"/>
  <c r="C32" i="16"/>
  <c r="B32" i="16"/>
  <c r="E31" i="16"/>
  <c r="D31" i="16"/>
  <c r="C31" i="16"/>
  <c r="B31" i="16"/>
  <c r="E30" i="16"/>
  <c r="D30" i="16"/>
  <c r="C30" i="16"/>
  <c r="B30" i="16"/>
  <c r="C29" i="16"/>
  <c r="B29" i="16"/>
  <c r="B8" i="14"/>
  <c r="V18" i="13"/>
  <c r="S18" i="13"/>
  <c r="Q18" i="13"/>
  <c r="O18" i="13"/>
  <c r="N18" i="13"/>
  <c r="B38" i="3"/>
  <c r="T18" i="13"/>
  <c r="U18" i="13"/>
  <c r="AP57" i="5"/>
  <c r="B36" i="1"/>
  <c r="B25" i="14"/>
  <c r="B21" i="29"/>
  <c r="D58" i="29"/>
  <c r="D42" i="29"/>
  <c r="E22" i="16"/>
  <c r="D21" i="29"/>
  <c r="C39" i="29"/>
  <c r="A24" i="3"/>
  <c r="A207" i="1"/>
  <c r="A22" i="3"/>
  <c r="A194" i="1"/>
  <c r="A23" i="3"/>
  <c r="A202" i="1"/>
  <c r="E24" i="16"/>
  <c r="K24" i="16" s="1"/>
  <c r="E21" i="16"/>
  <c r="K21" i="16" s="1"/>
  <c r="E25" i="16"/>
  <c r="K25" i="16" s="1"/>
  <c r="E19" i="16"/>
  <c r="K19" i="16" s="1"/>
  <c r="E26" i="16"/>
  <c r="K26" i="16" s="1"/>
  <c r="E18" i="16"/>
  <c r="K18" i="16" s="1"/>
  <c r="E20" i="16"/>
  <c r="K20" i="16" s="1"/>
  <c r="A88" i="9"/>
  <c r="F21" i="29"/>
  <c r="A96" i="4"/>
  <c r="A100" i="4"/>
  <c r="A97" i="4"/>
  <c r="A95" i="4"/>
  <c r="A29" i="3"/>
  <c r="A39" i="3"/>
  <c r="A47" i="3" s="1"/>
  <c r="A41" i="3"/>
  <c r="A31" i="3"/>
  <c r="A38" i="3"/>
  <c r="M13" i="14"/>
  <c r="M14" i="14" s="1"/>
  <c r="U13" i="14"/>
  <c r="AC13" i="14"/>
  <c r="AK13" i="14"/>
  <c r="AS13" i="14"/>
  <c r="BA13" i="14"/>
  <c r="BI13" i="14"/>
  <c r="BQ13" i="14"/>
  <c r="G13" i="14"/>
  <c r="AG14" i="14" s="1"/>
  <c r="O13" i="14"/>
  <c r="W13" i="14"/>
  <c r="AE13" i="14"/>
  <c r="AM13" i="14"/>
  <c r="AU13" i="14"/>
  <c r="BC13" i="14"/>
  <c r="BK13" i="14"/>
  <c r="BS13" i="14"/>
  <c r="BS14" i="14" s="1"/>
  <c r="E13" i="14"/>
  <c r="H13" i="14"/>
  <c r="P13" i="14"/>
  <c r="X13" i="14"/>
  <c r="AF13" i="14"/>
  <c r="AN13" i="14"/>
  <c r="AV13" i="14"/>
  <c r="AV14" i="14" s="1"/>
  <c r="BD13" i="14"/>
  <c r="BD14" i="14" s="1"/>
  <c r="BL13" i="14"/>
  <c r="BT13" i="14"/>
  <c r="F13" i="14"/>
  <c r="J13" i="14"/>
  <c r="R13" i="14"/>
  <c r="Z13" i="14"/>
  <c r="AH13" i="14"/>
  <c r="AH14" i="14" s="1"/>
  <c r="AP13" i="14"/>
  <c r="AX13" i="14"/>
  <c r="BF13" i="14"/>
  <c r="BN13" i="14"/>
  <c r="BV13" i="14"/>
  <c r="C13" i="14"/>
  <c r="L13" i="14"/>
  <c r="T13" i="14"/>
  <c r="T14" i="14" s="1"/>
  <c r="AB13" i="14"/>
  <c r="BP14" i="14" s="1"/>
  <c r="AJ13" i="14"/>
  <c r="AR13" i="14"/>
  <c r="AZ13" i="14"/>
  <c r="BH13" i="14"/>
  <c r="BP13" i="14"/>
  <c r="BX13" i="14"/>
  <c r="AA13" i="14"/>
  <c r="AA14" i="14" s="1"/>
  <c r="AW13" i="14"/>
  <c r="AW14" i="14" s="1"/>
  <c r="BR13" i="14"/>
  <c r="AD13" i="14"/>
  <c r="K13" i="14"/>
  <c r="AG13" i="14"/>
  <c r="BB13" i="14"/>
  <c r="BW13" i="14"/>
  <c r="N13" i="14"/>
  <c r="N14" i="14" s="1"/>
  <c r="AI13" i="14"/>
  <c r="AI14" i="14" s="1"/>
  <c r="BE13" i="14"/>
  <c r="B13" i="14"/>
  <c r="Q13" i="14"/>
  <c r="AL13" i="14"/>
  <c r="BG13" i="14"/>
  <c r="S13" i="14"/>
  <c r="AO13" i="14"/>
  <c r="AO14" i="14" s="1"/>
  <c r="BJ13" i="14"/>
  <c r="BJ14" i="14" s="1"/>
  <c r="V13" i="14"/>
  <c r="AQ13" i="14"/>
  <c r="BM13" i="14"/>
  <c r="Y13" i="14"/>
  <c r="AT13" i="14"/>
  <c r="BO13" i="14"/>
  <c r="I13" i="14"/>
  <c r="AY13" i="14"/>
  <c r="AY14" i="14" s="1"/>
  <c r="BU13" i="14"/>
  <c r="D13" i="14"/>
  <c r="AQ57" i="5"/>
  <c r="A53" i="3"/>
  <c r="A46" i="3"/>
  <c r="A52" i="3"/>
  <c r="D14" i="14"/>
  <c r="Y14" i="14"/>
  <c r="C14" i="14"/>
  <c r="Q14" i="14"/>
  <c r="F14" i="14"/>
  <c r="E14" i="14"/>
  <c r="I14" i="14"/>
  <c r="AR57" i="5"/>
  <c r="AS57" i="5"/>
  <c r="AT57" i="5"/>
  <c r="AU57" i="5"/>
  <c r="AV57" i="5"/>
  <c r="AW57" i="5"/>
  <c r="AX57" i="5"/>
  <c r="AY57" i="5"/>
  <c r="AZ57" i="5"/>
  <c r="BA57" i="5"/>
  <c r="BB57" i="5"/>
  <c r="BC57" i="5"/>
  <c r="BD57" i="5"/>
  <c r="BE57" i="5"/>
  <c r="BF57" i="5"/>
  <c r="BG57" i="5"/>
  <c r="BH57" i="5"/>
  <c r="BI57" i="5"/>
  <c r="BJ57" i="5"/>
  <c r="BK57" i="5"/>
  <c r="BL57" i="5"/>
  <c r="BM57" i="5"/>
  <c r="BN57" i="5"/>
  <c r="BO57" i="5"/>
  <c r="BP57" i="5"/>
  <c r="BQ57" i="5"/>
  <c r="BR57" i="5"/>
  <c r="BS57" i="5"/>
  <c r="BT57" i="5"/>
  <c r="BU57" i="5"/>
  <c r="BV57" i="5"/>
  <c r="BW57" i="5"/>
  <c r="BX57" i="5"/>
  <c r="BY57" i="5"/>
  <c r="BZ57" i="5"/>
  <c r="CA57" i="5"/>
  <c r="CB57" i="5"/>
  <c r="B14" i="14"/>
  <c r="AC14" i="14" l="1"/>
  <c r="BV14" i="14"/>
  <c r="AK14" i="14"/>
  <c r="BO14" i="14"/>
  <c r="O14" i="14"/>
  <c r="BU14" i="14"/>
  <c r="AQ14" i="14"/>
  <c r="K14" i="14"/>
  <c r="AL14" i="14"/>
  <c r="BI14" i="14"/>
  <c r="AP14" i="14"/>
  <c r="AM14" i="14"/>
  <c r="BC14" i="14"/>
  <c r="AB14" i="14"/>
  <c r="BM14" i="14"/>
  <c r="AN14" i="14"/>
  <c r="AX14" i="14"/>
  <c r="H14" i="14"/>
  <c r="AE14" i="14"/>
  <c r="X14" i="14"/>
  <c r="BG14" i="14"/>
  <c r="Z14" i="14"/>
  <c r="G14" i="14"/>
  <c r="AJ14" i="14"/>
  <c r="BT14" i="14"/>
  <c r="P14" i="14"/>
  <c r="BA14" i="14"/>
  <c r="AT14" i="14"/>
  <c r="J14" i="14"/>
  <c r="BR14" i="14"/>
  <c r="BF14" i="14"/>
  <c r="AU14" i="14"/>
  <c r="AS14" i="14"/>
  <c r="BQ14" i="14"/>
  <c r="BK14" i="14"/>
  <c r="W14" i="14"/>
  <c r="L14" i="14"/>
  <c r="BX14" i="14"/>
  <c r="BE14" i="14"/>
  <c r="AR14" i="14"/>
  <c r="BN14" i="14"/>
  <c r="AF14" i="14"/>
  <c r="BH14" i="14"/>
  <c r="BL14" i="14"/>
  <c r="BB14" i="14"/>
  <c r="S14" i="14"/>
  <c r="BW14" i="14"/>
  <c r="U14" i="14"/>
  <c r="V14" i="14"/>
  <c r="AD14" i="14"/>
  <c r="AZ14" i="14"/>
  <c r="R14" i="14"/>
  <c r="BO14" i="3"/>
  <c r="BO20" i="3" s="1"/>
  <c r="BO18" i="3"/>
  <c r="BO15" i="3"/>
  <c r="BO16" i="3"/>
  <c r="BO17" i="3"/>
  <c r="AN17" i="3"/>
  <c r="AN14" i="3"/>
  <c r="AN19" i="3" s="1"/>
  <c r="AN18" i="3"/>
  <c r="AN16" i="3"/>
  <c r="AN15" i="3"/>
  <c r="A55" i="3"/>
  <c r="A49" i="3"/>
  <c r="A40" i="3"/>
  <c r="A30" i="3"/>
  <c r="A82" i="9"/>
  <c r="A112" i="9" s="1"/>
  <c r="BL16" i="3"/>
  <c r="BL17" i="3"/>
  <c r="BL14" i="3"/>
  <c r="BL19" i="3" s="1"/>
  <c r="BL15" i="3"/>
  <c r="BL18" i="3"/>
  <c r="A56" i="3"/>
  <c r="A50" i="3"/>
  <c r="AY15" i="3"/>
  <c r="AY17" i="3"/>
  <c r="AY18" i="3"/>
  <c r="AY14" i="3"/>
  <c r="AY20" i="3" s="1"/>
  <c r="AV14" i="3"/>
  <c r="AV19" i="3" s="1"/>
  <c r="AV18" i="3"/>
  <c r="AV16" i="3"/>
  <c r="AV17" i="3"/>
  <c r="AV15" i="3"/>
  <c r="E9" i="3"/>
  <c r="D11" i="3"/>
  <c r="D8" i="3"/>
  <c r="C9" i="13"/>
  <c r="C9" i="4"/>
  <c r="AA14" i="3"/>
  <c r="AA19" i="3" s="1"/>
  <c r="AA18" i="3"/>
  <c r="AA17" i="3"/>
  <c r="AA15" i="3"/>
  <c r="AA16" i="3"/>
  <c r="BV15" i="3"/>
  <c r="BV16" i="3"/>
  <c r="BV14" i="3"/>
  <c r="BV20" i="3" s="1"/>
  <c r="BV18" i="3"/>
  <c r="BV17" i="3"/>
  <c r="BP16" i="3"/>
  <c r="BP17" i="3"/>
  <c r="BP18" i="3"/>
  <c r="BP14" i="3"/>
  <c r="BP19" i="3" s="1"/>
  <c r="BP15" i="3"/>
  <c r="BF15" i="3"/>
  <c r="BF16" i="3"/>
  <c r="BF17" i="3"/>
  <c r="BF18" i="3"/>
  <c r="BF14" i="3"/>
  <c r="BF19" i="3" s="1"/>
  <c r="AZ17" i="3"/>
  <c r="AZ15" i="3"/>
  <c r="AZ16" i="3"/>
  <c r="AZ18" i="3"/>
  <c r="AZ14" i="3"/>
  <c r="AZ19" i="3" s="1"/>
  <c r="AF15" i="3"/>
  <c r="AF16" i="3"/>
  <c r="AF17" i="3"/>
  <c r="AF18" i="3"/>
  <c r="AF14" i="3"/>
  <c r="AF20" i="3" s="1"/>
  <c r="E36" i="3"/>
  <c r="C32" i="10"/>
  <c r="C50" i="4"/>
  <c r="A84" i="9"/>
  <c r="A114" i="9" s="1"/>
  <c r="AI15" i="3"/>
  <c r="AI16" i="3"/>
  <c r="AI14" i="3"/>
  <c r="AI18" i="3"/>
  <c r="AI17" i="3"/>
  <c r="AH17" i="3"/>
  <c r="AH14" i="3"/>
  <c r="AH20" i="3" s="1"/>
  <c r="AH18" i="3"/>
  <c r="AH16" i="3"/>
  <c r="AH15" i="3"/>
  <c r="I16" i="3"/>
  <c r="I17" i="3"/>
  <c r="I15" i="3"/>
  <c r="I14" i="3"/>
  <c r="I20" i="3" s="1"/>
  <c r="I18" i="3"/>
  <c r="C16" i="3"/>
  <c r="C30" i="3" s="1"/>
  <c r="C17" i="3"/>
  <c r="B34" i="4" s="1"/>
  <c r="C15" i="3"/>
  <c r="C18" i="3"/>
  <c r="C32" i="3" s="1"/>
  <c r="C14" i="3"/>
  <c r="B31" i="4" s="1"/>
  <c r="BX15" i="3"/>
  <c r="BX16" i="3"/>
  <c r="BX14" i="3"/>
  <c r="BX19" i="3" s="1"/>
  <c r="BX18" i="3"/>
  <c r="BX17" i="3"/>
  <c r="BN16" i="3"/>
  <c r="BN17" i="3"/>
  <c r="BN15" i="3"/>
  <c r="BN18" i="3"/>
  <c r="BN14" i="3"/>
  <c r="BN19" i="3" s="1"/>
  <c r="BH16" i="3"/>
  <c r="BH14" i="3"/>
  <c r="BH19" i="3" s="1"/>
  <c r="BH18" i="3"/>
  <c r="BH15" i="3"/>
  <c r="BH17" i="3"/>
  <c r="AX17" i="3"/>
  <c r="AX15" i="3"/>
  <c r="AX18" i="3"/>
  <c r="AX14" i="3"/>
  <c r="AX16" i="3"/>
  <c r="AQ16" i="3"/>
  <c r="AQ14" i="3"/>
  <c r="AQ19" i="3" s="1"/>
  <c r="AQ15" i="3"/>
  <c r="AQ17" i="3"/>
  <c r="AQ18" i="3"/>
  <c r="AP14" i="3"/>
  <c r="AP19" i="3" s="1"/>
  <c r="AP18" i="3"/>
  <c r="AP15" i="3"/>
  <c r="AP16" i="3"/>
  <c r="AP17" i="3"/>
  <c r="J14" i="3"/>
  <c r="J20" i="3" s="1"/>
  <c r="J18" i="3"/>
  <c r="J15" i="3"/>
  <c r="J16" i="3"/>
  <c r="J17" i="3"/>
  <c r="A2" i="22"/>
  <c r="A2" i="13"/>
  <c r="A2" i="14" s="1"/>
  <c r="A2" i="16" s="1"/>
  <c r="BW17" i="3"/>
  <c r="BW14" i="3"/>
  <c r="BW20" i="3" s="1"/>
  <c r="BW18" i="3"/>
  <c r="BW16" i="3"/>
  <c r="BW15" i="3"/>
  <c r="BT14" i="3"/>
  <c r="BT20" i="3" s="1"/>
  <c r="BT18" i="3"/>
  <c r="BT16" i="3"/>
  <c r="BT17" i="3"/>
  <c r="BT15" i="3"/>
  <c r="BG17" i="3"/>
  <c r="BG18" i="3"/>
  <c r="BG14" i="3"/>
  <c r="BG19" i="3" s="1"/>
  <c r="BG15" i="3"/>
  <c r="BG16" i="3"/>
  <c r="BD17" i="3"/>
  <c r="BD15" i="3"/>
  <c r="BD18" i="3"/>
  <c r="BD14" i="3"/>
  <c r="BD19" i="3" s="1"/>
  <c r="BD16" i="3"/>
  <c r="A2" i="10"/>
  <c r="BQ16" i="3"/>
  <c r="BQ14" i="3"/>
  <c r="BQ19" i="3" s="1"/>
  <c r="BQ18" i="3"/>
  <c r="BQ15" i="3"/>
  <c r="BI14" i="3"/>
  <c r="BI20" i="3" s="1"/>
  <c r="BI15" i="3"/>
  <c r="BI16" i="3"/>
  <c r="BI17" i="3"/>
  <c r="BI18" i="3"/>
  <c r="BA15" i="3"/>
  <c r="BA17" i="3"/>
  <c r="BA14" i="3"/>
  <c r="BA20" i="3" s="1"/>
  <c r="BA16" i="3"/>
  <c r="BA18" i="3"/>
  <c r="AS16" i="3"/>
  <c r="AS18" i="3"/>
  <c r="AS17" i="3"/>
  <c r="AS14" i="3"/>
  <c r="AS19" i="3" s="1"/>
  <c r="AS15" i="3"/>
  <c r="AK15" i="3"/>
  <c r="AK16" i="3"/>
  <c r="AK14" i="3"/>
  <c r="AK20" i="3" s="1"/>
  <c r="AK18" i="3"/>
  <c r="AK17" i="3"/>
  <c r="AC17" i="3"/>
  <c r="AC18" i="3"/>
  <c r="AC14" i="3"/>
  <c r="AC19" i="3" s="1"/>
  <c r="AC15" i="3"/>
  <c r="AC16" i="3"/>
  <c r="H17" i="3"/>
  <c r="H14" i="3"/>
  <c r="H18" i="3"/>
  <c r="H15" i="3"/>
  <c r="H16" i="3"/>
  <c r="BR14" i="3"/>
  <c r="BR20" i="3" s="1"/>
  <c r="BR18" i="3"/>
  <c r="BR15" i="3"/>
  <c r="BR17" i="3"/>
  <c r="BJ16" i="3"/>
  <c r="BJ17" i="3"/>
  <c r="BJ14" i="3"/>
  <c r="BJ19" i="3" s="1"/>
  <c r="BJ15" i="3"/>
  <c r="BB17" i="3"/>
  <c r="BB15" i="3"/>
  <c r="BB18" i="3"/>
  <c r="BB14" i="3"/>
  <c r="BB20" i="3" s="1"/>
  <c r="BB16" i="3"/>
  <c r="AT14" i="3"/>
  <c r="AT20" i="3" s="1"/>
  <c r="AT18" i="3"/>
  <c r="AT16" i="3"/>
  <c r="AT15" i="3"/>
  <c r="AT17" i="3"/>
  <c r="AL17" i="3"/>
  <c r="AL14" i="3"/>
  <c r="AL19" i="3" s="1"/>
  <c r="AL18" i="3"/>
  <c r="AL16" i="3"/>
  <c r="AL15" i="3"/>
  <c r="AD15" i="3"/>
  <c r="AD17" i="3"/>
  <c r="AD18" i="3"/>
  <c r="AD16" i="3"/>
  <c r="AD14" i="3"/>
  <c r="AD19" i="3" s="1"/>
  <c r="K17" i="3"/>
  <c r="K14" i="3"/>
  <c r="K18" i="3"/>
  <c r="K16" i="3"/>
  <c r="K15" i="3"/>
  <c r="D14" i="3"/>
  <c r="D19" i="3" s="1"/>
  <c r="D18" i="3"/>
  <c r="D15" i="3"/>
  <c r="D17" i="3"/>
  <c r="D16" i="3"/>
  <c r="BY17" i="3"/>
  <c r="BY14" i="3"/>
  <c r="BY19" i="3" s="1"/>
  <c r="BY18" i="3"/>
  <c r="BU17" i="3"/>
  <c r="BU14" i="3"/>
  <c r="BU20" i="3" s="1"/>
  <c r="BU18" i="3"/>
  <c r="BU16" i="3"/>
  <c r="BM14" i="3"/>
  <c r="BM18" i="3"/>
  <c r="BM15" i="3"/>
  <c r="BM17" i="3"/>
  <c r="BE15" i="3"/>
  <c r="BE17" i="3"/>
  <c r="BE14" i="3"/>
  <c r="BE20" i="3" s="1"/>
  <c r="BE16" i="3"/>
  <c r="BE18" i="3"/>
  <c r="AW16" i="3"/>
  <c r="AW14" i="3"/>
  <c r="AW19" i="3" s="1"/>
  <c r="AW15" i="3"/>
  <c r="AW17" i="3"/>
  <c r="AW18" i="3"/>
  <c r="AO15" i="3"/>
  <c r="AO16" i="3"/>
  <c r="AO14" i="3"/>
  <c r="AO19" i="3" s="1"/>
  <c r="AO18" i="3"/>
  <c r="AO17" i="3"/>
  <c r="AG17" i="3"/>
  <c r="AG18" i="3"/>
  <c r="AG14" i="3"/>
  <c r="AG20" i="3" s="1"/>
  <c r="AG16" i="3"/>
  <c r="AG15" i="3"/>
  <c r="E14" i="3"/>
  <c r="E19" i="3" s="1"/>
  <c r="E18" i="3"/>
  <c r="E15" i="3"/>
  <c r="E16" i="3"/>
  <c r="E17" i="3"/>
  <c r="AR14" i="3"/>
  <c r="AR20" i="3" s="1"/>
  <c r="AR18" i="3"/>
  <c r="AR16" i="3"/>
  <c r="AR15" i="3"/>
  <c r="AR17" i="3"/>
  <c r="AJ17" i="3"/>
  <c r="AJ14" i="3"/>
  <c r="AJ20" i="3" s="1"/>
  <c r="AJ18" i="3"/>
  <c r="AJ16" i="3"/>
  <c r="AJ15" i="3"/>
  <c r="AB14" i="3"/>
  <c r="AB19" i="3" s="1"/>
  <c r="AB18" i="3"/>
  <c r="AB15" i="3"/>
  <c r="AB17" i="3"/>
  <c r="AB16" i="3"/>
  <c r="F17" i="3"/>
  <c r="F14" i="3"/>
  <c r="F18" i="3"/>
  <c r="F16" i="3"/>
  <c r="F15" i="3"/>
  <c r="BM16" i="3"/>
  <c r="BS16" i="3"/>
  <c r="BS14" i="3"/>
  <c r="BS20" i="3" s="1"/>
  <c r="BS15" i="3"/>
  <c r="BS17" i="3"/>
  <c r="BK14" i="3"/>
  <c r="BK18" i="3"/>
  <c r="BK15" i="3"/>
  <c r="BK16" i="3"/>
  <c r="BK17" i="3"/>
  <c r="BC15" i="3"/>
  <c r="BC17" i="3"/>
  <c r="BC16" i="3"/>
  <c r="BC18" i="3"/>
  <c r="BC14" i="3"/>
  <c r="BC19" i="3" s="1"/>
  <c r="AU14" i="3"/>
  <c r="AU19" i="3" s="1"/>
  <c r="AU16" i="3"/>
  <c r="AU17" i="3"/>
  <c r="AU18" i="3"/>
  <c r="AU15" i="3"/>
  <c r="AM15" i="3"/>
  <c r="AM16" i="3"/>
  <c r="AM14" i="3"/>
  <c r="AM19" i="3" s="1"/>
  <c r="AM18" i="3"/>
  <c r="AM17" i="3"/>
  <c r="AE16" i="3"/>
  <c r="AE14" i="3"/>
  <c r="AE17" i="3"/>
  <c r="AE15" i="3"/>
  <c r="AE18" i="3"/>
  <c r="BQ17" i="3"/>
  <c r="G15" i="3"/>
  <c r="G16" i="3"/>
  <c r="G14" i="3"/>
  <c r="G20" i="3" s="1"/>
  <c r="G18" i="3"/>
  <c r="G17" i="3"/>
  <c r="BU15" i="3"/>
  <c r="BJ18" i="3"/>
  <c r="B74" i="9"/>
  <c r="B65" i="9"/>
  <c r="B75" i="9"/>
  <c r="B66" i="9"/>
  <c r="B76" i="9"/>
  <c r="B67" i="9"/>
  <c r="B69" i="9"/>
  <c r="B59" i="9"/>
  <c r="B70" i="9"/>
  <c r="B60" i="9"/>
  <c r="B64" i="9"/>
  <c r="B71" i="9"/>
  <c r="B72" i="9"/>
  <c r="B61" i="9"/>
  <c r="B62" i="9"/>
  <c r="E12" i="5"/>
  <c r="Y33" i="9"/>
  <c r="Y52" i="9" s="1"/>
  <c r="BU33" i="9"/>
  <c r="BU52" i="9" s="1"/>
  <c r="AL33" i="9"/>
  <c r="AL52" i="9" s="1"/>
  <c r="BE33" i="9"/>
  <c r="BE52" i="9" s="1"/>
  <c r="I23" i="16"/>
  <c r="O66" i="5"/>
  <c r="P66" i="5" s="1"/>
  <c r="Q66" i="5" s="1"/>
  <c r="R66" i="5" s="1"/>
  <c r="S66" i="5" s="1"/>
  <c r="T66" i="5" s="1"/>
  <c r="O70" i="5"/>
  <c r="O65" i="5"/>
  <c r="P65" i="5" s="1"/>
  <c r="Q65" i="5" s="1"/>
  <c r="O64" i="5"/>
  <c r="P64" i="5" s="1"/>
  <c r="Q64" i="5" s="1"/>
  <c r="O62" i="5"/>
  <c r="O61" i="5"/>
  <c r="O59" i="5"/>
  <c r="E19" i="5"/>
  <c r="Z17" i="3"/>
  <c r="Z16" i="3"/>
  <c r="Z15" i="3"/>
  <c r="Z18" i="3"/>
  <c r="I19" i="3"/>
  <c r="P16" i="3"/>
  <c r="P17" i="3"/>
  <c r="P14" i="3"/>
  <c r="P18" i="3"/>
  <c r="P15" i="3"/>
  <c r="O16" i="3"/>
  <c r="O142" i="1"/>
  <c r="B142" i="1" s="1"/>
  <c r="O18" i="3"/>
  <c r="O15" i="3"/>
  <c r="O14" i="3"/>
  <c r="N19" i="3"/>
  <c r="N20" i="3"/>
  <c r="N17" i="3"/>
  <c r="L16" i="3"/>
  <c r="M18" i="3"/>
  <c r="M14" i="3"/>
  <c r="N16" i="3"/>
  <c r="L15" i="3"/>
  <c r="M17" i="3"/>
  <c r="N15" i="3"/>
  <c r="L18" i="3"/>
  <c r="L14" i="3"/>
  <c r="M16" i="3"/>
  <c r="N18" i="3"/>
  <c r="O12" i="32"/>
  <c r="C26" i="5" s="1"/>
  <c r="E26" i="5" s="1"/>
  <c r="E25" i="5" s="1"/>
  <c r="O23" i="32"/>
  <c r="C20" i="5" s="1"/>
  <c r="C67" i="5" s="1"/>
  <c r="O20" i="5"/>
  <c r="Q59" i="1"/>
  <c r="N21" i="5"/>
  <c r="O24" i="32"/>
  <c r="C21" i="5" s="1"/>
  <c r="C68" i="5" s="1"/>
  <c r="S46" i="1"/>
  <c r="S44" i="1" s="1"/>
  <c r="M16" i="32"/>
  <c r="R43" i="1"/>
  <c r="K96" i="1"/>
  <c r="L96" i="1" s="1"/>
  <c r="M96" i="1" s="1"/>
  <c r="N96" i="1" s="1"/>
  <c r="Q46" i="1"/>
  <c r="Q44" i="1" s="1"/>
  <c r="N46" i="1"/>
  <c r="N44" i="1"/>
  <c r="O19" i="32"/>
  <c r="C16" i="5" s="1"/>
  <c r="C63" i="5" s="1"/>
  <c r="K16" i="5"/>
  <c r="P46" i="1"/>
  <c r="P44" i="1" s="1"/>
  <c r="O46" i="1"/>
  <c r="O44" i="1" s="1"/>
  <c r="I16" i="32"/>
  <c r="N43" i="1"/>
  <c r="M46" i="1"/>
  <c r="M44" i="1"/>
  <c r="M43" i="1" s="1"/>
  <c r="L46" i="1"/>
  <c r="L44" i="1" s="1"/>
  <c r="J22" i="5"/>
  <c r="O25" i="32"/>
  <c r="C22" i="5" s="1"/>
  <c r="C69" i="5" s="1"/>
  <c r="F28" i="32"/>
  <c r="I22" i="5"/>
  <c r="I11" i="5" s="1"/>
  <c r="H16" i="32"/>
  <c r="J46" i="1"/>
  <c r="J44" i="1" s="1"/>
  <c r="I9" i="5"/>
  <c r="B73" i="13"/>
  <c r="B23" i="13"/>
  <c r="E14" i="5"/>
  <c r="Z20" i="3"/>
  <c r="Z19" i="3"/>
  <c r="C9" i="27"/>
  <c r="C18" i="27" s="1"/>
  <c r="B12" i="27"/>
  <c r="C12" i="27" s="1"/>
  <c r="C8" i="27"/>
  <c r="C17" i="27" s="1"/>
  <c r="E15" i="5"/>
  <c r="E23" i="5"/>
  <c r="E18" i="5"/>
  <c r="E17" i="5"/>
  <c r="G73" i="5"/>
  <c r="C13" i="27"/>
  <c r="D9" i="27"/>
  <c r="D18" i="27" s="1"/>
  <c r="J73" i="5"/>
  <c r="F30" i="5"/>
  <c r="BP20" i="3" l="1"/>
  <c r="BA19" i="3"/>
  <c r="BT19" i="3"/>
  <c r="BF20" i="3"/>
  <c r="AQ20" i="3"/>
  <c r="D20" i="3"/>
  <c r="AM20" i="3"/>
  <c r="BC20" i="3"/>
  <c r="AC20" i="3"/>
  <c r="AV20" i="3"/>
  <c r="AB20" i="3"/>
  <c r="J19" i="3"/>
  <c r="BX20" i="3"/>
  <c r="AU20" i="3"/>
  <c r="BJ20" i="3"/>
  <c r="B63" i="9"/>
  <c r="B58" i="9"/>
  <c r="B26" i="4"/>
  <c r="BS19" i="3"/>
  <c r="B29" i="4"/>
  <c r="BR19" i="3"/>
  <c r="BY20" i="3"/>
  <c r="B33" i="4"/>
  <c r="BD20" i="3"/>
  <c r="AH19" i="3"/>
  <c r="G19" i="3"/>
  <c r="BE19" i="3"/>
  <c r="B68" i="9"/>
  <c r="B73" i="9"/>
  <c r="AW20" i="3"/>
  <c r="B30" i="4"/>
  <c r="AD20" i="3"/>
  <c r="AS20" i="3"/>
  <c r="C19" i="3"/>
  <c r="B25" i="4"/>
  <c r="BB19" i="3"/>
  <c r="AK19" i="3"/>
  <c r="C20" i="3"/>
  <c r="C28" i="3"/>
  <c r="BO19" i="3"/>
  <c r="BL20" i="3"/>
  <c r="AL20" i="3"/>
  <c r="B27" i="4"/>
  <c r="AF19" i="3"/>
  <c r="B28" i="4"/>
  <c r="BQ20" i="3"/>
  <c r="AR19" i="3"/>
  <c r="C29" i="3"/>
  <c r="BH20" i="3"/>
  <c r="BU19" i="3"/>
  <c r="AO20" i="3"/>
  <c r="AN20" i="3"/>
  <c r="C31" i="3"/>
  <c r="BG20" i="3"/>
  <c r="BN20" i="3"/>
  <c r="BI19" i="3"/>
  <c r="AJ19" i="3"/>
  <c r="AT19" i="3"/>
  <c r="BV19" i="3"/>
  <c r="AG19" i="3"/>
  <c r="E20" i="3"/>
  <c r="AP20" i="3"/>
  <c r="BM19" i="3"/>
  <c r="BM20" i="3"/>
  <c r="AX20" i="3"/>
  <c r="AX19" i="3"/>
  <c r="BK20" i="3"/>
  <c r="AE19" i="3"/>
  <c r="AE20" i="3"/>
  <c r="H19" i="3"/>
  <c r="H20" i="3"/>
  <c r="AZ20" i="3"/>
  <c r="A54" i="3"/>
  <c r="A48" i="3"/>
  <c r="D50" i="4"/>
  <c r="F36" i="3"/>
  <c r="D32" i="10"/>
  <c r="E37" i="14"/>
  <c r="D16" i="22"/>
  <c r="D87" i="9"/>
  <c r="AY19" i="3"/>
  <c r="B32" i="4"/>
  <c r="AI20" i="3"/>
  <c r="AI19" i="3"/>
  <c r="BK19" i="3"/>
  <c r="E11" i="3"/>
  <c r="F9" i="3"/>
  <c r="E8" i="3"/>
  <c r="D9" i="10"/>
  <c r="D9" i="14" s="1"/>
  <c r="D9" i="22"/>
  <c r="D9" i="4"/>
  <c r="D32" i="9"/>
  <c r="D56" i="9" s="1"/>
  <c r="D9" i="13"/>
  <c r="C41" i="13"/>
  <c r="D25" i="3"/>
  <c r="D31" i="3" s="1"/>
  <c r="D22" i="3"/>
  <c r="D28" i="3" s="1"/>
  <c r="D26" i="3"/>
  <c r="D32" i="3" s="1"/>
  <c r="D23" i="3"/>
  <c r="D29" i="3" s="1"/>
  <c r="D24" i="3"/>
  <c r="D30" i="3" s="1"/>
  <c r="C10" i="4"/>
  <c r="C57" i="9"/>
  <c r="F20" i="3"/>
  <c r="F19" i="3"/>
  <c r="K20" i="3"/>
  <c r="K19" i="3"/>
  <c r="C34" i="4"/>
  <c r="C32" i="4"/>
  <c r="BW19" i="3"/>
  <c r="AA20" i="3"/>
  <c r="C31" i="4"/>
  <c r="D86" i="4"/>
  <c r="C78" i="4"/>
  <c r="C8" i="13"/>
  <c r="C8" i="4"/>
  <c r="C8" i="10"/>
  <c r="C31" i="9"/>
  <c r="C55" i="9" s="1"/>
  <c r="C8" i="22"/>
  <c r="M19" i="3"/>
  <c r="O68" i="5"/>
  <c r="R64" i="5"/>
  <c r="S64" i="5" s="1"/>
  <c r="O69" i="5"/>
  <c r="P59" i="5"/>
  <c r="R65" i="5"/>
  <c r="S65" i="5" s="1"/>
  <c r="P61" i="5"/>
  <c r="P70" i="5"/>
  <c r="Q70" i="5" s="1"/>
  <c r="O63" i="5"/>
  <c r="O67" i="5"/>
  <c r="P62" i="5"/>
  <c r="Q62" i="5" s="1"/>
  <c r="M20" i="3"/>
  <c r="D143" i="1"/>
  <c r="Q12" i="3"/>
  <c r="P20" i="3"/>
  <c r="P19" i="3"/>
  <c r="O19" i="3"/>
  <c r="O20" i="3"/>
  <c r="L20" i="3"/>
  <c r="L19" i="3"/>
  <c r="C25" i="5"/>
  <c r="E21" i="5"/>
  <c r="E20" i="5"/>
  <c r="S43" i="1"/>
  <c r="N16" i="32"/>
  <c r="P13" i="5"/>
  <c r="P11" i="5" s="1"/>
  <c r="M28" i="32"/>
  <c r="L16" i="32"/>
  <c r="Q43" i="1"/>
  <c r="E16" i="5"/>
  <c r="P43" i="1"/>
  <c r="K16" i="32"/>
  <c r="J16" i="32"/>
  <c r="O43" i="1"/>
  <c r="L13" i="5"/>
  <c r="L11" i="5" s="1"/>
  <c r="I28" i="32"/>
  <c r="L43" i="1"/>
  <c r="G16" i="32"/>
  <c r="E22" i="5"/>
  <c r="K13" i="5"/>
  <c r="K11" i="5" s="1"/>
  <c r="H28" i="32"/>
  <c r="E16" i="32"/>
  <c r="J43" i="1"/>
  <c r="I8" i="5"/>
  <c r="J9" i="5"/>
  <c r="D13" i="27"/>
  <c r="D12" i="27"/>
  <c r="S75" i="1"/>
  <c r="C17" i="4"/>
  <c r="H73" i="5"/>
  <c r="D17" i="4" s="1"/>
  <c r="U66" i="5"/>
  <c r="V66" i="5" s="1"/>
  <c r="E13" i="27"/>
  <c r="E12" i="27"/>
  <c r="D8" i="27"/>
  <c r="D17" i="27" s="1"/>
  <c r="E9" i="27"/>
  <c r="E18" i="27" s="1"/>
  <c r="C24" i="13"/>
  <c r="D24" i="13"/>
  <c r="F17" i="4"/>
  <c r="K73" i="5"/>
  <c r="H73" i="1"/>
  <c r="B24" i="4" l="1"/>
  <c r="B13" i="13" s="1"/>
  <c r="B77" i="9"/>
  <c r="B13" i="4" s="1"/>
  <c r="B14" i="4" s="1"/>
  <c r="F29" i="5" s="1"/>
  <c r="C27" i="3"/>
  <c r="B82" i="9" s="1"/>
  <c r="D27" i="3"/>
  <c r="C81" i="9" s="1"/>
  <c r="G36" i="3"/>
  <c r="E50" i="4"/>
  <c r="F37" i="14"/>
  <c r="E16" i="22"/>
  <c r="E87" i="9"/>
  <c r="E32" i="10"/>
  <c r="C8" i="14"/>
  <c r="C73" i="13"/>
  <c r="D41" i="13"/>
  <c r="E86" i="4"/>
  <c r="D78" i="4"/>
  <c r="D8" i="13"/>
  <c r="D8" i="4"/>
  <c r="D8" i="22"/>
  <c r="D31" i="9"/>
  <c r="D55" i="9" s="1"/>
  <c r="D8" i="10"/>
  <c r="D8" i="14" s="1"/>
  <c r="C75" i="9"/>
  <c r="C66" i="9"/>
  <c r="C76" i="9"/>
  <c r="C67" i="9"/>
  <c r="C69" i="9"/>
  <c r="C59" i="9"/>
  <c r="C70" i="9"/>
  <c r="C60" i="9"/>
  <c r="C71" i="9"/>
  <c r="C61" i="9"/>
  <c r="C74" i="9"/>
  <c r="C65" i="9"/>
  <c r="C72" i="9"/>
  <c r="C64" i="9"/>
  <c r="C62" i="9"/>
  <c r="F8" i="3"/>
  <c r="F11" i="3"/>
  <c r="G9" i="3"/>
  <c r="E9" i="4"/>
  <c r="E32" i="9"/>
  <c r="E56" i="9" s="1"/>
  <c r="E9" i="10"/>
  <c r="E9" i="14" s="1"/>
  <c r="E9" i="22"/>
  <c r="E9" i="13"/>
  <c r="C15" i="4"/>
  <c r="G30" i="5" s="1"/>
  <c r="C25" i="4"/>
  <c r="C30" i="4"/>
  <c r="C29" i="4"/>
  <c r="C26" i="4"/>
  <c r="C33" i="4"/>
  <c r="C28" i="4"/>
  <c r="C27" i="4"/>
  <c r="E22" i="3"/>
  <c r="E28" i="3" s="1"/>
  <c r="E26" i="3"/>
  <c r="E32" i="3" s="1"/>
  <c r="E23" i="3"/>
  <c r="E29" i="3" s="1"/>
  <c r="E25" i="3"/>
  <c r="E31" i="3" s="1"/>
  <c r="E24" i="3"/>
  <c r="E30" i="3" s="1"/>
  <c r="D10" i="4"/>
  <c r="D57" i="9"/>
  <c r="T65" i="5"/>
  <c r="U65" i="5" s="1"/>
  <c r="Q61" i="5"/>
  <c r="R61" i="5" s="1"/>
  <c r="R62" i="5"/>
  <c r="S62" i="5" s="1"/>
  <c r="T64" i="5"/>
  <c r="U64" i="5" s="1"/>
  <c r="V64" i="5" s="1"/>
  <c r="Q59" i="5"/>
  <c r="R70" i="5"/>
  <c r="P69" i="5"/>
  <c r="P67" i="5"/>
  <c r="Q67" i="5" s="1"/>
  <c r="R67" i="5" s="1"/>
  <c r="P68" i="5"/>
  <c r="Q68" i="5" s="1"/>
  <c r="P63" i="5"/>
  <c r="Q63" i="5" s="1"/>
  <c r="Q17" i="3"/>
  <c r="Q14" i="3"/>
  <c r="Q18" i="3"/>
  <c r="Q15" i="3"/>
  <c r="Q16" i="3"/>
  <c r="E143" i="1"/>
  <c r="R12" i="3"/>
  <c r="N28" i="32"/>
  <c r="Q13" i="5"/>
  <c r="Q11" i="5" s="1"/>
  <c r="O13" i="5"/>
  <c r="O11" i="5" s="1"/>
  <c r="L28" i="32"/>
  <c r="N13" i="5"/>
  <c r="N11" i="5" s="1"/>
  <c r="K28" i="32"/>
  <c r="J28" i="32"/>
  <c r="M13" i="5"/>
  <c r="M11" i="5" s="1"/>
  <c r="J13" i="5"/>
  <c r="J11" i="5" s="1"/>
  <c r="G28" i="32"/>
  <c r="O16" i="32"/>
  <c r="H13" i="5"/>
  <c r="H11" i="5" s="1"/>
  <c r="E28" i="32"/>
  <c r="J8" i="5"/>
  <c r="K9" i="5"/>
  <c r="B11" i="22"/>
  <c r="B12" i="13" s="1"/>
  <c r="C23" i="13"/>
  <c r="C21" i="13"/>
  <c r="F9" i="27"/>
  <c r="F18" i="27" s="1"/>
  <c r="E8" i="27"/>
  <c r="E17" i="27" s="1"/>
  <c r="D23" i="13"/>
  <c r="D21" i="13"/>
  <c r="F12" i="27"/>
  <c r="F13" i="27"/>
  <c r="E24" i="13"/>
  <c r="W66" i="5"/>
  <c r="G17" i="4"/>
  <c r="L73" i="5"/>
  <c r="C83" i="9" l="1"/>
  <c r="C33" i="3"/>
  <c r="B81" i="9"/>
  <c r="C80" i="9"/>
  <c r="B80" i="9"/>
  <c r="B11" i="13"/>
  <c r="B10" i="10"/>
  <c r="B18" i="10" s="1"/>
  <c r="B84" i="9"/>
  <c r="B78" i="9"/>
  <c r="B83" i="9"/>
  <c r="C63" i="9"/>
  <c r="C11" i="13"/>
  <c r="C84" i="9"/>
  <c r="C10" i="10"/>
  <c r="C13" i="10" s="1"/>
  <c r="D33" i="3"/>
  <c r="C82" i="9"/>
  <c r="D15" i="4"/>
  <c r="D33" i="4"/>
  <c r="D26" i="4"/>
  <c r="D27" i="4"/>
  <c r="D30" i="4"/>
  <c r="D25" i="4"/>
  <c r="D28" i="4"/>
  <c r="D29" i="4"/>
  <c r="D31" i="4"/>
  <c r="D34" i="4"/>
  <c r="D32" i="4"/>
  <c r="E8" i="13"/>
  <c r="E8" i="4"/>
  <c r="E8" i="10"/>
  <c r="E31" i="9"/>
  <c r="E55" i="9" s="1"/>
  <c r="E8" i="22"/>
  <c r="C58" i="9"/>
  <c r="D73" i="13"/>
  <c r="E41" i="13"/>
  <c r="C68" i="9"/>
  <c r="E27" i="3"/>
  <c r="C24" i="4"/>
  <c r="C13" i="13" s="1"/>
  <c r="F86" i="4"/>
  <c r="E78" i="4"/>
  <c r="I73" i="1"/>
  <c r="H9" i="3"/>
  <c r="G8" i="3"/>
  <c r="G11" i="3"/>
  <c r="F9" i="13"/>
  <c r="F32" i="9"/>
  <c r="F56" i="9" s="1"/>
  <c r="F9" i="4"/>
  <c r="F9" i="10"/>
  <c r="F9" i="14" s="1"/>
  <c r="F9" i="22"/>
  <c r="C73" i="9"/>
  <c r="F50" i="4"/>
  <c r="H36" i="3"/>
  <c r="F87" i="9"/>
  <c r="F32" i="10"/>
  <c r="F16" i="22"/>
  <c r="G37" i="14"/>
  <c r="D76" i="9"/>
  <c r="D67" i="9"/>
  <c r="D69" i="9"/>
  <c r="D59" i="9"/>
  <c r="D70" i="9"/>
  <c r="D60" i="9"/>
  <c r="D71" i="9"/>
  <c r="D61" i="9"/>
  <c r="D72" i="9"/>
  <c r="D62" i="9"/>
  <c r="D75" i="9"/>
  <c r="D66" i="9"/>
  <c r="D64" i="9"/>
  <c r="D65" i="9"/>
  <c r="D74" i="9"/>
  <c r="F24" i="3"/>
  <c r="F30" i="3" s="1"/>
  <c r="F25" i="3"/>
  <c r="F31" i="3" s="1"/>
  <c r="F22" i="3"/>
  <c r="F28" i="3" s="1"/>
  <c r="F26" i="3"/>
  <c r="F32" i="3" s="1"/>
  <c r="F23" i="3"/>
  <c r="F29" i="3" s="1"/>
  <c r="E10" i="4"/>
  <c r="E57" i="9"/>
  <c r="S61" i="5"/>
  <c r="T61" i="5" s="1"/>
  <c r="U61" i="5" s="1"/>
  <c r="V61" i="5" s="1"/>
  <c r="W61" i="5" s="1"/>
  <c r="X61" i="5" s="1"/>
  <c r="R59" i="5"/>
  <c r="S59" i="5" s="1"/>
  <c r="T59" i="5" s="1"/>
  <c r="T62" i="5"/>
  <c r="U62" i="5" s="1"/>
  <c r="S67" i="5"/>
  <c r="T67" i="5" s="1"/>
  <c r="R68" i="5"/>
  <c r="S68" i="5" s="1"/>
  <c r="R63" i="5"/>
  <c r="S63" i="5" s="1"/>
  <c r="Q69" i="5"/>
  <c r="S70" i="5"/>
  <c r="R15" i="3"/>
  <c r="R14" i="3"/>
  <c r="R16" i="3"/>
  <c r="R17" i="3"/>
  <c r="R18" i="3"/>
  <c r="S12" i="3"/>
  <c r="F143" i="1"/>
  <c r="Q19" i="3"/>
  <c r="Q20" i="3"/>
  <c r="O28" i="32"/>
  <c r="C13" i="5"/>
  <c r="K8" i="5"/>
  <c r="L9" i="5"/>
  <c r="Q28" i="5"/>
  <c r="Q33" i="5" s="1"/>
  <c r="M17" i="13" s="1"/>
  <c r="M18" i="13" s="1"/>
  <c r="G9" i="27"/>
  <c r="G18" i="27" s="1"/>
  <c r="F8" i="27"/>
  <c r="F17" i="27" s="1"/>
  <c r="E23" i="13"/>
  <c r="E21" i="13"/>
  <c r="F24" i="13"/>
  <c r="G13" i="27"/>
  <c r="G12" i="27"/>
  <c r="V65" i="5"/>
  <c r="X66" i="5"/>
  <c r="W64" i="5"/>
  <c r="X64" i="5" s="1"/>
  <c r="M73" i="5"/>
  <c r="H17" i="4"/>
  <c r="H72" i="1"/>
  <c r="H71" i="1" s="1"/>
  <c r="H76" i="1" s="1"/>
  <c r="F28" i="5"/>
  <c r="B11" i="4"/>
  <c r="B35" i="4" s="1"/>
  <c r="B11" i="10" s="1"/>
  <c r="B13" i="22"/>
  <c r="Q72" i="1"/>
  <c r="B24" i="10" l="1"/>
  <c r="B13" i="10"/>
  <c r="B21" i="10"/>
  <c r="B26" i="10"/>
  <c r="B79" i="9"/>
  <c r="C77" i="9"/>
  <c r="C78" i="9" s="1"/>
  <c r="C24" i="10"/>
  <c r="C18" i="10"/>
  <c r="C12" i="22" s="1"/>
  <c r="C79" i="9"/>
  <c r="C21" i="10"/>
  <c r="C26" i="10"/>
  <c r="G50" i="4"/>
  <c r="G32" i="10"/>
  <c r="G16" i="22"/>
  <c r="I36" i="3"/>
  <c r="G87" i="9"/>
  <c r="H37" i="14"/>
  <c r="E69" i="9"/>
  <c r="E59" i="9"/>
  <c r="E70" i="9"/>
  <c r="E60" i="9"/>
  <c r="E71" i="9"/>
  <c r="E61" i="9"/>
  <c r="E72" i="9"/>
  <c r="E62" i="9"/>
  <c r="E64" i="9"/>
  <c r="E76" i="9"/>
  <c r="E67" i="9"/>
  <c r="E74" i="9"/>
  <c r="E75" i="9"/>
  <c r="E65" i="9"/>
  <c r="E66" i="9"/>
  <c r="D73" i="9"/>
  <c r="G86" i="4"/>
  <c r="F78" i="4"/>
  <c r="E73" i="13"/>
  <c r="H30" i="5"/>
  <c r="E15" i="4"/>
  <c r="E25" i="4"/>
  <c r="E28" i="4"/>
  <c r="E26" i="4"/>
  <c r="E32" i="4"/>
  <c r="E31" i="4"/>
  <c r="E29" i="4"/>
  <c r="E27" i="4"/>
  <c r="E34" i="4"/>
  <c r="E33" i="4"/>
  <c r="E30" i="4"/>
  <c r="E8" i="14"/>
  <c r="D63" i="9"/>
  <c r="G22" i="3"/>
  <c r="G28" i="3" s="1"/>
  <c r="G26" i="3"/>
  <c r="G32" i="3" s="1"/>
  <c r="G23" i="3"/>
  <c r="G29" i="3" s="1"/>
  <c r="G24" i="3"/>
  <c r="G30" i="3" s="1"/>
  <c r="G25" i="3"/>
  <c r="G31" i="3" s="1"/>
  <c r="F10" i="4"/>
  <c r="F57" i="9"/>
  <c r="D24" i="4"/>
  <c r="D13" i="13" s="1"/>
  <c r="D58" i="9"/>
  <c r="F8" i="4"/>
  <c r="F8" i="13"/>
  <c r="F8" i="10"/>
  <c r="F31" i="9"/>
  <c r="F55" i="9" s="1"/>
  <c r="F8" i="22"/>
  <c r="E33" i="3"/>
  <c r="D11" i="13"/>
  <c r="D83" i="9"/>
  <c r="D10" i="10"/>
  <c r="D84" i="9"/>
  <c r="D82" i="9"/>
  <c r="D81" i="9"/>
  <c r="D80" i="9"/>
  <c r="F27" i="3"/>
  <c r="D68" i="9"/>
  <c r="F41" i="13"/>
  <c r="H11" i="3"/>
  <c r="I9" i="3"/>
  <c r="H8" i="3"/>
  <c r="G9" i="13"/>
  <c r="G9" i="22"/>
  <c r="G9" i="4"/>
  <c r="G9" i="10"/>
  <c r="G9" i="14" s="1"/>
  <c r="G32" i="9"/>
  <c r="G56" i="9" s="1"/>
  <c r="V62" i="5"/>
  <c r="W62" i="5" s="1"/>
  <c r="U67" i="5"/>
  <c r="V67" i="5" s="1"/>
  <c r="U59" i="5"/>
  <c r="T70" i="5"/>
  <c r="U70" i="5" s="1"/>
  <c r="T68" i="5"/>
  <c r="R69" i="5"/>
  <c r="T63" i="5"/>
  <c r="T12" i="3"/>
  <c r="G143" i="1"/>
  <c r="S15" i="3"/>
  <c r="S16" i="3"/>
  <c r="S17" i="3"/>
  <c r="S14" i="3"/>
  <c r="S18" i="3"/>
  <c r="R20" i="3"/>
  <c r="R19" i="3"/>
  <c r="C60" i="5"/>
  <c r="O60" i="5" s="1"/>
  <c r="E13" i="5"/>
  <c r="E11" i="5" s="1"/>
  <c r="C11" i="5"/>
  <c r="L8" i="5"/>
  <c r="M9" i="5"/>
  <c r="S72" i="1"/>
  <c r="S71" i="1" s="1"/>
  <c r="S76" i="1" s="1"/>
  <c r="H13" i="27"/>
  <c r="H12" i="27"/>
  <c r="H9" i="27"/>
  <c r="H18" i="27" s="1"/>
  <c r="G8" i="27"/>
  <c r="G17" i="27" s="1"/>
  <c r="G24" i="13"/>
  <c r="F21" i="13"/>
  <c r="F23" i="13"/>
  <c r="Y64" i="5"/>
  <c r="Z64" i="5" s="1"/>
  <c r="Y61" i="5"/>
  <c r="Y66" i="5"/>
  <c r="W65" i="5"/>
  <c r="X65" i="5" s="1"/>
  <c r="N73" i="5"/>
  <c r="I17" i="4"/>
  <c r="B12" i="22"/>
  <c r="F33" i="5"/>
  <c r="B17" i="13" s="1"/>
  <c r="B12" i="10"/>
  <c r="B17" i="10" s="1"/>
  <c r="P28" i="5"/>
  <c r="P33" i="5" s="1"/>
  <c r="L17" i="13" s="1"/>
  <c r="L18" i="13" s="1"/>
  <c r="R72" i="1"/>
  <c r="R71" i="1" s="1"/>
  <c r="R76" i="1" s="1"/>
  <c r="C13" i="4" l="1"/>
  <c r="C11" i="22"/>
  <c r="C12" i="13" s="1"/>
  <c r="E63" i="9"/>
  <c r="G27" i="3"/>
  <c r="F80" i="9" s="1"/>
  <c r="E73" i="9"/>
  <c r="F70" i="9"/>
  <c r="F60" i="9"/>
  <c r="F71" i="9"/>
  <c r="F61" i="9"/>
  <c r="F72" i="9"/>
  <c r="F62" i="9"/>
  <c r="F64" i="9"/>
  <c r="F74" i="9"/>
  <c r="F65" i="9"/>
  <c r="F69" i="9"/>
  <c r="F59" i="9"/>
  <c r="F66" i="9"/>
  <c r="F67" i="9"/>
  <c r="F76" i="9"/>
  <c r="F75" i="9"/>
  <c r="D79" i="9"/>
  <c r="F15" i="4"/>
  <c r="F27" i="4"/>
  <c r="F30" i="4"/>
  <c r="F34" i="4"/>
  <c r="F25" i="4"/>
  <c r="F33" i="4"/>
  <c r="F31" i="4"/>
  <c r="F28" i="4"/>
  <c r="F26" i="4"/>
  <c r="F29" i="4"/>
  <c r="F32" i="4"/>
  <c r="J73" i="1"/>
  <c r="E58" i="9"/>
  <c r="H32" i="10"/>
  <c r="H16" i="22"/>
  <c r="I37" i="14"/>
  <c r="H87" i="9"/>
  <c r="H50" i="4"/>
  <c r="F73" i="13"/>
  <c r="E68" i="9"/>
  <c r="G8" i="13"/>
  <c r="G8" i="4"/>
  <c r="G8" i="22"/>
  <c r="G8" i="10"/>
  <c r="G31" i="9"/>
  <c r="G55" i="9" s="1"/>
  <c r="J9" i="3"/>
  <c r="I8" i="3"/>
  <c r="I11" i="3"/>
  <c r="H9" i="4"/>
  <c r="H32" i="9"/>
  <c r="H56" i="9" s="1"/>
  <c r="H9" i="13"/>
  <c r="H9" i="22"/>
  <c r="H9" i="10"/>
  <c r="H9" i="14" s="1"/>
  <c r="D77" i="9"/>
  <c r="G41" i="13"/>
  <c r="C14" i="4"/>
  <c r="G29" i="5" s="1"/>
  <c r="H25" i="3"/>
  <c r="H31" i="3" s="1"/>
  <c r="H22" i="3"/>
  <c r="H28" i="3" s="1"/>
  <c r="H26" i="3"/>
  <c r="H32" i="3" s="1"/>
  <c r="H24" i="3"/>
  <c r="H30" i="3" s="1"/>
  <c r="H23" i="3"/>
  <c r="H29" i="3" s="1"/>
  <c r="G10" i="4"/>
  <c r="G57" i="9"/>
  <c r="E24" i="4"/>
  <c r="E13" i="13" s="1"/>
  <c r="H86" i="4"/>
  <c r="G78" i="4"/>
  <c r="D24" i="10"/>
  <c r="D21" i="10"/>
  <c r="D18" i="10"/>
  <c r="D13" i="10"/>
  <c r="D26" i="10"/>
  <c r="E10" i="10"/>
  <c r="E83" i="9"/>
  <c r="E11" i="13"/>
  <c r="E81" i="9"/>
  <c r="E84" i="9"/>
  <c r="E80" i="9"/>
  <c r="E82" i="9"/>
  <c r="F33" i="3"/>
  <c r="F8" i="14"/>
  <c r="I30" i="5"/>
  <c r="K73" i="1" s="1"/>
  <c r="W67" i="5"/>
  <c r="X67" i="5" s="1"/>
  <c r="V70" i="5"/>
  <c r="W70" i="5" s="1"/>
  <c r="X70" i="5" s="1"/>
  <c r="Y70" i="5" s="1"/>
  <c r="V59" i="5"/>
  <c r="S69" i="5"/>
  <c r="T69" i="5" s="1"/>
  <c r="U69" i="5" s="1"/>
  <c r="V69" i="5" s="1"/>
  <c r="W69" i="5" s="1"/>
  <c r="X69" i="5" s="1"/>
  <c r="P60" i="5"/>
  <c r="P71" i="5" s="1"/>
  <c r="L12" i="4" s="1"/>
  <c r="L22" i="10" s="1"/>
  <c r="O71" i="5"/>
  <c r="K12" i="4" s="1"/>
  <c r="K22" i="10" s="1"/>
  <c r="U63" i="5"/>
  <c r="U68" i="5"/>
  <c r="V68" i="5" s="1"/>
  <c r="W68" i="5" s="1"/>
  <c r="H143" i="1"/>
  <c r="U12" i="3"/>
  <c r="S19" i="3"/>
  <c r="S20" i="3"/>
  <c r="T17" i="3"/>
  <c r="T14" i="3"/>
  <c r="T18" i="3"/>
  <c r="T15" i="3"/>
  <c r="T16" i="3"/>
  <c r="C71" i="5"/>
  <c r="M8" i="5"/>
  <c r="N9" i="5"/>
  <c r="H8" i="27"/>
  <c r="H17" i="27" s="1"/>
  <c r="I9" i="27"/>
  <c r="I18" i="27" s="1"/>
  <c r="I12" i="27"/>
  <c r="I13" i="27"/>
  <c r="H24" i="13"/>
  <c r="H23" i="13" s="1"/>
  <c r="G21" i="13"/>
  <c r="G23" i="13"/>
  <c r="AA64" i="5"/>
  <c r="J17" i="4"/>
  <c r="X62" i="5"/>
  <c r="Y65" i="5"/>
  <c r="Z61" i="5"/>
  <c r="Z66" i="5"/>
  <c r="B10" i="22"/>
  <c r="B14" i="13" s="1"/>
  <c r="B15" i="13" s="1"/>
  <c r="B18" i="13"/>
  <c r="B19" i="10"/>
  <c r="B23" i="10"/>
  <c r="F10" i="10" l="1"/>
  <c r="F21" i="10" s="1"/>
  <c r="G33" i="3"/>
  <c r="F83" i="9"/>
  <c r="F84" i="9"/>
  <c r="F11" i="13"/>
  <c r="F81" i="9"/>
  <c r="F82" i="9"/>
  <c r="F58" i="9"/>
  <c r="E79" i="9"/>
  <c r="G28" i="5"/>
  <c r="I72" i="1"/>
  <c r="I71" i="1" s="1"/>
  <c r="I76" i="1" s="1"/>
  <c r="E77" i="9"/>
  <c r="C13" i="22"/>
  <c r="D13" i="4"/>
  <c r="D78" i="9"/>
  <c r="D11" i="22"/>
  <c r="J30" i="5"/>
  <c r="L73" i="1" s="1"/>
  <c r="F68" i="9"/>
  <c r="H27" i="3"/>
  <c r="H41" i="13"/>
  <c r="G8" i="14"/>
  <c r="D12" i="22"/>
  <c r="I23" i="3"/>
  <c r="I29" i="3" s="1"/>
  <c r="I24" i="3"/>
  <c r="I30" i="3" s="1"/>
  <c r="I25" i="3"/>
  <c r="I31" i="3" s="1"/>
  <c r="I22" i="3"/>
  <c r="I28" i="3" s="1"/>
  <c r="I26" i="3"/>
  <c r="I32" i="3" s="1"/>
  <c r="H57" i="9"/>
  <c r="H10" i="4"/>
  <c r="F73" i="9"/>
  <c r="H8" i="13"/>
  <c r="H8" i="4"/>
  <c r="H8" i="10"/>
  <c r="H8" i="22"/>
  <c r="H31" i="9"/>
  <c r="H55" i="9" s="1"/>
  <c r="F63" i="9"/>
  <c r="E18" i="10"/>
  <c r="E12" i="22" s="1"/>
  <c r="E24" i="10"/>
  <c r="E13" i="10"/>
  <c r="E21" i="10"/>
  <c r="E26" i="10"/>
  <c r="G71" i="9"/>
  <c r="G61" i="9"/>
  <c r="G72" i="9"/>
  <c r="G62" i="9"/>
  <c r="G64" i="9"/>
  <c r="G74" i="9"/>
  <c r="G65" i="9"/>
  <c r="G75" i="9"/>
  <c r="G66" i="9"/>
  <c r="G70" i="9"/>
  <c r="G60" i="9"/>
  <c r="G76" i="9"/>
  <c r="G69" i="9"/>
  <c r="G67" i="9"/>
  <c r="G59" i="9"/>
  <c r="J11" i="3"/>
  <c r="J8" i="3"/>
  <c r="K9" i="3"/>
  <c r="I9" i="10"/>
  <c r="I9" i="14" s="1"/>
  <c r="I9" i="4"/>
  <c r="I9" i="13"/>
  <c r="I9" i="22"/>
  <c r="I32" i="9"/>
  <c r="I56" i="9" s="1"/>
  <c r="F24" i="4"/>
  <c r="F13" i="13" s="1"/>
  <c r="G15" i="4"/>
  <c r="G34" i="4"/>
  <c r="G32" i="4"/>
  <c r="G25" i="4"/>
  <c r="G26" i="4"/>
  <c r="G29" i="4"/>
  <c r="G31" i="4"/>
  <c r="G33" i="4"/>
  <c r="G27" i="4"/>
  <c r="G28" i="4"/>
  <c r="G30" i="4"/>
  <c r="C11" i="4"/>
  <c r="C35" i="4" s="1"/>
  <c r="C11" i="10" s="1"/>
  <c r="G73" i="13"/>
  <c r="H78" i="4"/>
  <c r="I86" i="4"/>
  <c r="Q60" i="5"/>
  <c r="Q71" i="5" s="1"/>
  <c r="M12" i="4" s="1"/>
  <c r="M22" i="10" s="1"/>
  <c r="Y67" i="5"/>
  <c r="Z67" i="5" s="1"/>
  <c r="AA67" i="5" s="1"/>
  <c r="O72" i="5"/>
  <c r="O73" i="5" s="1"/>
  <c r="W59" i="5"/>
  <c r="V63" i="5"/>
  <c r="W63" i="5" s="1"/>
  <c r="X63" i="5" s="1"/>
  <c r="X68" i="5"/>
  <c r="Y68" i="5" s="1"/>
  <c r="Y69" i="5"/>
  <c r="Z70" i="5"/>
  <c r="AA70" i="5" s="1"/>
  <c r="U15" i="3"/>
  <c r="U16" i="3"/>
  <c r="U17" i="3"/>
  <c r="U14" i="3"/>
  <c r="U18" i="3"/>
  <c r="T19" i="3"/>
  <c r="T20" i="3"/>
  <c r="V12" i="3"/>
  <c r="O9" i="5"/>
  <c r="N8" i="5"/>
  <c r="I24" i="13"/>
  <c r="I8" i="27"/>
  <c r="I17" i="27" s="1"/>
  <c r="J9" i="27"/>
  <c r="J18" i="27" s="1"/>
  <c r="J13" i="27"/>
  <c r="J12" i="27"/>
  <c r="AA61" i="5"/>
  <c r="AA66" i="5"/>
  <c r="Z65" i="5"/>
  <c r="AB64" i="5"/>
  <c r="Y62" i="5"/>
  <c r="B20" i="10"/>
  <c r="B29" i="13" s="1"/>
  <c r="B25" i="10"/>
  <c r="B19" i="13"/>
  <c r="F79" i="9" l="1"/>
  <c r="F24" i="10"/>
  <c r="F26" i="10"/>
  <c r="F13" i="10"/>
  <c r="F18" i="10"/>
  <c r="F12" i="22" s="1"/>
  <c r="E13" i="4"/>
  <c r="E78" i="9"/>
  <c r="E11" i="22"/>
  <c r="C12" i="10"/>
  <c r="C17" i="10" s="1"/>
  <c r="G24" i="4"/>
  <c r="G13" i="13" s="1"/>
  <c r="I8" i="13"/>
  <c r="I8" i="22"/>
  <c r="I8" i="10"/>
  <c r="I31" i="9"/>
  <c r="I55" i="9" s="1"/>
  <c r="I8" i="4"/>
  <c r="K30" i="5"/>
  <c r="H15" i="4"/>
  <c r="H30" i="4"/>
  <c r="H31" i="4"/>
  <c r="H26" i="4"/>
  <c r="H28" i="4"/>
  <c r="H27" i="4"/>
  <c r="H32" i="4"/>
  <c r="H33" i="4"/>
  <c r="H34" i="4"/>
  <c r="H25" i="4"/>
  <c r="H29" i="4"/>
  <c r="D12" i="13"/>
  <c r="G58" i="9"/>
  <c r="H72" i="9"/>
  <c r="H62" i="9"/>
  <c r="H64" i="9"/>
  <c r="H74" i="9"/>
  <c r="H65" i="9"/>
  <c r="H75" i="9"/>
  <c r="H66" i="9"/>
  <c r="H76" i="9"/>
  <c r="H67" i="9"/>
  <c r="H71" i="9"/>
  <c r="H61" i="9"/>
  <c r="H59" i="9"/>
  <c r="H60" i="9"/>
  <c r="H70" i="9"/>
  <c r="H69" i="9"/>
  <c r="G33" i="5"/>
  <c r="C17" i="13" s="1"/>
  <c r="G73" i="9"/>
  <c r="H73" i="13"/>
  <c r="D14" i="4"/>
  <c r="G68" i="9"/>
  <c r="G63" i="9"/>
  <c r="H8" i="14"/>
  <c r="F77" i="9"/>
  <c r="I27" i="3"/>
  <c r="G84" i="9"/>
  <c r="G82" i="9"/>
  <c r="G80" i="9"/>
  <c r="G11" i="13"/>
  <c r="G81" i="9"/>
  <c r="G10" i="10"/>
  <c r="H33" i="3"/>
  <c r="G83" i="9"/>
  <c r="J22" i="3"/>
  <c r="J28" i="3" s="1"/>
  <c r="J26" i="3"/>
  <c r="J32" i="3" s="1"/>
  <c r="J23" i="3"/>
  <c r="J29" i="3" s="1"/>
  <c r="J25" i="3"/>
  <c r="J31" i="3" s="1"/>
  <c r="J24" i="3"/>
  <c r="J30" i="3" s="1"/>
  <c r="I10" i="4"/>
  <c r="I57" i="9"/>
  <c r="K11" i="3"/>
  <c r="K8" i="3"/>
  <c r="L9" i="3"/>
  <c r="J9" i="22"/>
  <c r="J32" i="9"/>
  <c r="J56" i="9" s="1"/>
  <c r="J9" i="4"/>
  <c r="J9" i="13"/>
  <c r="J9" i="10"/>
  <c r="J9" i="14" s="1"/>
  <c r="C10" i="22"/>
  <c r="C14" i="13" s="1"/>
  <c r="R60" i="5"/>
  <c r="R71" i="5" s="1"/>
  <c r="N12" i="4" s="1"/>
  <c r="N22" i="10" s="1"/>
  <c r="P72" i="5"/>
  <c r="P73" i="5" s="1"/>
  <c r="K17" i="4"/>
  <c r="AB70" i="5"/>
  <c r="AC70" i="5" s="1"/>
  <c r="Z68" i="5"/>
  <c r="AA68" i="5" s="1"/>
  <c r="X59" i="5"/>
  <c r="Z69" i="5"/>
  <c r="Y63" i="5"/>
  <c r="Z63" i="5" s="1"/>
  <c r="U19" i="3"/>
  <c r="U20" i="3"/>
  <c r="V16" i="3"/>
  <c r="V17" i="3"/>
  <c r="V14" i="3"/>
  <c r="V18" i="3"/>
  <c r="V15" i="3"/>
  <c r="W12" i="3"/>
  <c r="O8" i="5"/>
  <c r="P9" i="5"/>
  <c r="J8" i="27"/>
  <c r="J17" i="27" s="1"/>
  <c r="K9" i="27"/>
  <c r="K18" i="27" s="1"/>
  <c r="I23" i="13"/>
  <c r="K13" i="27"/>
  <c r="K12" i="27"/>
  <c r="J24" i="13"/>
  <c r="J23" i="13" s="1"/>
  <c r="Z62" i="5"/>
  <c r="AC64" i="5"/>
  <c r="AD64" i="5" s="1"/>
  <c r="AE64" i="5" s="1"/>
  <c r="AF64" i="5" s="1"/>
  <c r="AG64" i="5" s="1"/>
  <c r="AH64" i="5" s="1"/>
  <c r="AI64" i="5" s="1"/>
  <c r="AJ64" i="5" s="1"/>
  <c r="AK64" i="5" s="1"/>
  <c r="AL64" i="5" s="1"/>
  <c r="AM64" i="5" s="1"/>
  <c r="AN64" i="5" s="1"/>
  <c r="AO64" i="5" s="1"/>
  <c r="AP64" i="5" s="1"/>
  <c r="AQ64" i="5" s="1"/>
  <c r="AR64" i="5" s="1"/>
  <c r="AS64" i="5" s="1"/>
  <c r="AT64" i="5" s="1"/>
  <c r="AU64" i="5" s="1"/>
  <c r="AV64" i="5" s="1"/>
  <c r="AW64" i="5" s="1"/>
  <c r="AX64" i="5" s="1"/>
  <c r="AY64" i="5" s="1"/>
  <c r="AZ64" i="5" s="1"/>
  <c r="BA64" i="5" s="1"/>
  <c r="BB64" i="5" s="1"/>
  <c r="BC64" i="5" s="1"/>
  <c r="BD64" i="5" s="1"/>
  <c r="BE64" i="5" s="1"/>
  <c r="BF64" i="5" s="1"/>
  <c r="BG64" i="5" s="1"/>
  <c r="BH64" i="5" s="1"/>
  <c r="BI64" i="5" s="1"/>
  <c r="BJ64" i="5" s="1"/>
  <c r="BK64" i="5" s="1"/>
  <c r="BL64" i="5" s="1"/>
  <c r="BM64" i="5" s="1"/>
  <c r="BN64" i="5" s="1"/>
  <c r="BO64" i="5" s="1"/>
  <c r="BP64" i="5" s="1"/>
  <c r="BQ64" i="5" s="1"/>
  <c r="BR64" i="5" s="1"/>
  <c r="BS64" i="5" s="1"/>
  <c r="BT64" i="5" s="1"/>
  <c r="BU64" i="5" s="1"/>
  <c r="BV64" i="5" s="1"/>
  <c r="BW64" i="5" s="1"/>
  <c r="BX64" i="5" s="1"/>
  <c r="BY64" i="5" s="1"/>
  <c r="BZ64" i="5" s="1"/>
  <c r="CA64" i="5" s="1"/>
  <c r="CB64" i="5" s="1"/>
  <c r="AA65" i="5"/>
  <c r="AB66" i="5"/>
  <c r="AB67" i="5"/>
  <c r="AC67" i="5" s="1"/>
  <c r="AD67" i="5" s="1"/>
  <c r="AE67" i="5" s="1"/>
  <c r="AF67" i="5" s="1"/>
  <c r="AG67" i="5" s="1"/>
  <c r="AH67" i="5" s="1"/>
  <c r="AI67" i="5" s="1"/>
  <c r="AJ67" i="5" s="1"/>
  <c r="AK67" i="5" s="1"/>
  <c r="AL67" i="5" s="1"/>
  <c r="AM67" i="5" s="1"/>
  <c r="AN67" i="5" s="1"/>
  <c r="AO67" i="5" s="1"/>
  <c r="AP67" i="5" s="1"/>
  <c r="AQ67" i="5" s="1"/>
  <c r="AR67" i="5" s="1"/>
  <c r="AS67" i="5" s="1"/>
  <c r="AT67" i="5" s="1"/>
  <c r="AU67" i="5" s="1"/>
  <c r="AV67" i="5" s="1"/>
  <c r="AW67" i="5" s="1"/>
  <c r="AX67" i="5" s="1"/>
  <c r="AY67" i="5" s="1"/>
  <c r="AZ67" i="5" s="1"/>
  <c r="BA67" i="5" s="1"/>
  <c r="BB67" i="5" s="1"/>
  <c r="BC67" i="5" s="1"/>
  <c r="BD67" i="5" s="1"/>
  <c r="BE67" i="5" s="1"/>
  <c r="BF67" i="5" s="1"/>
  <c r="BG67" i="5" s="1"/>
  <c r="BH67" i="5" s="1"/>
  <c r="BI67" i="5" s="1"/>
  <c r="BJ67" i="5" s="1"/>
  <c r="BK67" i="5" s="1"/>
  <c r="BL67" i="5" s="1"/>
  <c r="BM67" i="5" s="1"/>
  <c r="BN67" i="5" s="1"/>
  <c r="BO67" i="5" s="1"/>
  <c r="AB61" i="5"/>
  <c r="B10" i="14"/>
  <c r="B11" i="14" s="1"/>
  <c r="M9" i="3" l="1"/>
  <c r="L8" i="3"/>
  <c r="K9" i="4"/>
  <c r="K9" i="10"/>
  <c r="K9" i="14" s="1"/>
  <c r="L11" i="3"/>
  <c r="K9" i="13"/>
  <c r="K32" i="9"/>
  <c r="K56" i="9" s="1"/>
  <c r="K9" i="22"/>
  <c r="I8" i="14"/>
  <c r="C15" i="13"/>
  <c r="J27" i="3"/>
  <c r="E14" i="4"/>
  <c r="E11" i="4" s="1"/>
  <c r="E35" i="4" s="1"/>
  <c r="E11" i="10" s="1"/>
  <c r="E12" i="10" s="1"/>
  <c r="E17" i="10" s="1"/>
  <c r="K24" i="3"/>
  <c r="K30" i="3" s="1"/>
  <c r="K25" i="3"/>
  <c r="K31" i="3" s="1"/>
  <c r="K22" i="3"/>
  <c r="K28" i="3" s="1"/>
  <c r="K26" i="3"/>
  <c r="K32" i="3" s="1"/>
  <c r="K23" i="3"/>
  <c r="K29" i="3" s="1"/>
  <c r="J10" i="4"/>
  <c r="J57" i="9"/>
  <c r="L30" i="5"/>
  <c r="N73" i="1" s="1"/>
  <c r="I64" i="9"/>
  <c r="I74" i="9"/>
  <c r="I65" i="9"/>
  <c r="I75" i="9"/>
  <c r="I66" i="9"/>
  <c r="I76" i="9"/>
  <c r="I67" i="9"/>
  <c r="I69" i="9"/>
  <c r="I59" i="9"/>
  <c r="I72" i="9"/>
  <c r="I62" i="9"/>
  <c r="I70" i="9"/>
  <c r="I71" i="9"/>
  <c r="I60" i="9"/>
  <c r="I61" i="9"/>
  <c r="F78" i="9"/>
  <c r="F11" i="22"/>
  <c r="F13" i="4"/>
  <c r="G77" i="9"/>
  <c r="H63" i="9"/>
  <c r="I15" i="4"/>
  <c r="I26" i="4"/>
  <c r="I25" i="4"/>
  <c r="I27" i="4"/>
  <c r="I29" i="4"/>
  <c r="I30" i="4"/>
  <c r="I33" i="4"/>
  <c r="I31" i="4"/>
  <c r="I28" i="4"/>
  <c r="I34" i="4"/>
  <c r="I32" i="4"/>
  <c r="G18" i="10"/>
  <c r="G21" i="10"/>
  <c r="G26" i="10"/>
  <c r="G13" i="10"/>
  <c r="G24" i="10"/>
  <c r="H68" i="9"/>
  <c r="D13" i="22"/>
  <c r="D11" i="4"/>
  <c r="D35" i="4" s="1"/>
  <c r="D11" i="10" s="1"/>
  <c r="C18" i="13"/>
  <c r="M73" i="1"/>
  <c r="C19" i="10"/>
  <c r="C23" i="10"/>
  <c r="H83" i="9"/>
  <c r="I33" i="3"/>
  <c r="H11" i="13"/>
  <c r="H82" i="9"/>
  <c r="H84" i="9"/>
  <c r="H80" i="9"/>
  <c r="H81" i="9"/>
  <c r="H10" i="10"/>
  <c r="J8" i="13"/>
  <c r="J8" i="4"/>
  <c r="J8" i="10"/>
  <c r="J8" i="22"/>
  <c r="J31" i="9"/>
  <c r="J55" i="9" s="1"/>
  <c r="G79" i="9"/>
  <c r="H29" i="5"/>
  <c r="H58" i="9"/>
  <c r="H73" i="9"/>
  <c r="H24" i="4"/>
  <c r="H13" i="13" s="1"/>
  <c r="E12" i="13"/>
  <c r="S60" i="5"/>
  <c r="T60" i="5" s="1"/>
  <c r="T71" i="5" s="1"/>
  <c r="P12" i="4" s="1"/>
  <c r="P22" i="10" s="1"/>
  <c r="Q72" i="5"/>
  <c r="Q73" i="5" s="1"/>
  <c r="L17" i="4"/>
  <c r="AA63" i="5"/>
  <c r="AB63" i="5" s="1"/>
  <c r="AC63" i="5" s="1"/>
  <c r="AD63" i="5" s="1"/>
  <c r="AE63" i="5" s="1"/>
  <c r="AF63" i="5" s="1"/>
  <c r="AG63" i="5" s="1"/>
  <c r="AH63" i="5" s="1"/>
  <c r="AI63" i="5" s="1"/>
  <c r="AJ63" i="5" s="1"/>
  <c r="AK63" i="5" s="1"/>
  <c r="AL63" i="5" s="1"/>
  <c r="AM63" i="5" s="1"/>
  <c r="AN63" i="5" s="1"/>
  <c r="AO63" i="5" s="1"/>
  <c r="AP63" i="5" s="1"/>
  <c r="AQ63" i="5" s="1"/>
  <c r="AR63" i="5" s="1"/>
  <c r="AS63" i="5" s="1"/>
  <c r="AT63" i="5" s="1"/>
  <c r="AU63" i="5" s="1"/>
  <c r="AV63" i="5" s="1"/>
  <c r="AW63" i="5" s="1"/>
  <c r="AX63" i="5" s="1"/>
  <c r="AY63" i="5" s="1"/>
  <c r="AZ63" i="5" s="1"/>
  <c r="BA63" i="5" s="1"/>
  <c r="BB63" i="5" s="1"/>
  <c r="BC63" i="5" s="1"/>
  <c r="BD63" i="5" s="1"/>
  <c r="BE63" i="5" s="1"/>
  <c r="BF63" i="5" s="1"/>
  <c r="BG63" i="5" s="1"/>
  <c r="BH63" i="5" s="1"/>
  <c r="BI63" i="5" s="1"/>
  <c r="BJ63" i="5" s="1"/>
  <c r="BK63" i="5" s="1"/>
  <c r="BL63" i="5" s="1"/>
  <c r="BM63" i="5" s="1"/>
  <c r="BN63" i="5" s="1"/>
  <c r="BO63" i="5" s="1"/>
  <c r="BP63" i="5" s="1"/>
  <c r="BQ63" i="5" s="1"/>
  <c r="BR63" i="5" s="1"/>
  <c r="BS63" i="5" s="1"/>
  <c r="BT63" i="5" s="1"/>
  <c r="BU63" i="5" s="1"/>
  <c r="BV63" i="5" s="1"/>
  <c r="BW63" i="5" s="1"/>
  <c r="BX63" i="5" s="1"/>
  <c r="BY63" i="5" s="1"/>
  <c r="BZ63" i="5" s="1"/>
  <c r="CA63" i="5" s="1"/>
  <c r="CB63" i="5" s="1"/>
  <c r="Y59" i="5"/>
  <c r="AA69" i="5"/>
  <c r="AB69" i="5" s="1"/>
  <c r="X12" i="3"/>
  <c r="W17" i="3"/>
  <c r="W14" i="3"/>
  <c r="W18" i="3"/>
  <c r="W15" i="3"/>
  <c r="W16" i="3"/>
  <c r="V19" i="3"/>
  <c r="V20" i="3"/>
  <c r="P8" i="5"/>
  <c r="Q9" i="5"/>
  <c r="Q8" i="5" s="1"/>
  <c r="L13" i="27"/>
  <c r="L12" i="27"/>
  <c r="L9" i="27"/>
  <c r="L18" i="27" s="1"/>
  <c r="K8" i="27"/>
  <c r="K17" i="27" s="1"/>
  <c r="K24" i="13"/>
  <c r="K23" i="13" s="1"/>
  <c r="AB68" i="5"/>
  <c r="AC68" i="5" s="1"/>
  <c r="AD68" i="5" s="1"/>
  <c r="AE68" i="5" s="1"/>
  <c r="AF68" i="5" s="1"/>
  <c r="AG68" i="5" s="1"/>
  <c r="AH68" i="5" s="1"/>
  <c r="AI68" i="5" s="1"/>
  <c r="AJ68" i="5" s="1"/>
  <c r="AK68" i="5" s="1"/>
  <c r="AL68" i="5" s="1"/>
  <c r="AM68" i="5" s="1"/>
  <c r="AN68" i="5" s="1"/>
  <c r="AO68" i="5" s="1"/>
  <c r="AP68" i="5" s="1"/>
  <c r="AQ68" i="5" s="1"/>
  <c r="AR68" i="5" s="1"/>
  <c r="AS68" i="5" s="1"/>
  <c r="AT68" i="5" s="1"/>
  <c r="AU68" i="5" s="1"/>
  <c r="AV68" i="5" s="1"/>
  <c r="AW68" i="5" s="1"/>
  <c r="AX68" i="5" s="1"/>
  <c r="AY68" i="5" s="1"/>
  <c r="AZ68" i="5" s="1"/>
  <c r="BA68" i="5" s="1"/>
  <c r="BB68" i="5" s="1"/>
  <c r="BC68" i="5" s="1"/>
  <c r="BD68" i="5" s="1"/>
  <c r="BE68" i="5" s="1"/>
  <c r="BF68" i="5" s="1"/>
  <c r="BG68" i="5" s="1"/>
  <c r="BH68" i="5" s="1"/>
  <c r="BI68" i="5" s="1"/>
  <c r="BJ68" i="5" s="1"/>
  <c r="BK68" i="5" s="1"/>
  <c r="BL68" i="5" s="1"/>
  <c r="BM68" i="5" s="1"/>
  <c r="BN68" i="5" s="1"/>
  <c r="BO68" i="5" s="1"/>
  <c r="BP68" i="5" s="1"/>
  <c r="BQ68" i="5" s="1"/>
  <c r="BR68" i="5" s="1"/>
  <c r="BS68" i="5" s="1"/>
  <c r="BT68" i="5" s="1"/>
  <c r="BU68" i="5" s="1"/>
  <c r="BV68" i="5" s="1"/>
  <c r="BW68" i="5" s="1"/>
  <c r="BX68" i="5" s="1"/>
  <c r="BY68" i="5" s="1"/>
  <c r="BZ68" i="5" s="1"/>
  <c r="CA68" i="5" s="1"/>
  <c r="CB68" i="5" s="1"/>
  <c r="AD70" i="5"/>
  <c r="AE70" i="5" s="1"/>
  <c r="AF70" i="5" s="1"/>
  <c r="AG70" i="5" s="1"/>
  <c r="AH70" i="5" s="1"/>
  <c r="AI70" i="5" s="1"/>
  <c r="AJ70" i="5" s="1"/>
  <c r="AK70" i="5" s="1"/>
  <c r="AL70" i="5" s="1"/>
  <c r="AM70" i="5" s="1"/>
  <c r="AN70" i="5" s="1"/>
  <c r="AO70" i="5" s="1"/>
  <c r="AP70" i="5" s="1"/>
  <c r="AQ70" i="5" s="1"/>
  <c r="AR70" i="5" s="1"/>
  <c r="AS70" i="5" s="1"/>
  <c r="AT70" i="5" s="1"/>
  <c r="AU70" i="5" s="1"/>
  <c r="AV70" i="5" s="1"/>
  <c r="AW70" i="5" s="1"/>
  <c r="AX70" i="5" s="1"/>
  <c r="AY70" i="5" s="1"/>
  <c r="AZ70" i="5" s="1"/>
  <c r="BA70" i="5" s="1"/>
  <c r="BB70" i="5" s="1"/>
  <c r="BC70" i="5" s="1"/>
  <c r="BD70" i="5" s="1"/>
  <c r="BE70" i="5" s="1"/>
  <c r="BF70" i="5" s="1"/>
  <c r="BG70" i="5" s="1"/>
  <c r="BH70" i="5" s="1"/>
  <c r="BI70" i="5" s="1"/>
  <c r="BJ70" i="5" s="1"/>
  <c r="BK70" i="5" s="1"/>
  <c r="BL70" i="5" s="1"/>
  <c r="BM70" i="5" s="1"/>
  <c r="BN70" i="5" s="1"/>
  <c r="BO70" i="5" s="1"/>
  <c r="BP70" i="5" s="1"/>
  <c r="BQ70" i="5" s="1"/>
  <c r="BR70" i="5" s="1"/>
  <c r="BS70" i="5" s="1"/>
  <c r="BT70" i="5" s="1"/>
  <c r="BU70" i="5" s="1"/>
  <c r="BV70" i="5" s="1"/>
  <c r="BW70" i="5" s="1"/>
  <c r="BX70" i="5" s="1"/>
  <c r="BY70" i="5" s="1"/>
  <c r="BZ70" i="5" s="1"/>
  <c r="CA70" i="5" s="1"/>
  <c r="CB70" i="5" s="1"/>
  <c r="AB65" i="5"/>
  <c r="AA62" i="5"/>
  <c r="AC66" i="5"/>
  <c r="BP67" i="5"/>
  <c r="BQ67" i="5" s="1"/>
  <c r="BR67" i="5" s="1"/>
  <c r="BS67" i="5" s="1"/>
  <c r="BT67" i="5" s="1"/>
  <c r="BU67" i="5" s="1"/>
  <c r="BV67" i="5" s="1"/>
  <c r="BW67" i="5" s="1"/>
  <c r="BX67" i="5" s="1"/>
  <c r="BY67" i="5" s="1"/>
  <c r="BZ67" i="5" s="1"/>
  <c r="CA67" i="5" s="1"/>
  <c r="CB67" i="5" s="1"/>
  <c r="AC61" i="5"/>
  <c r="C25" i="10" l="1"/>
  <c r="H77" i="9"/>
  <c r="H78" i="9" s="1"/>
  <c r="I24" i="4"/>
  <c r="I13" i="13" s="1"/>
  <c r="D10" i="22"/>
  <c r="D14" i="13" s="1"/>
  <c r="G12" i="22"/>
  <c r="I58" i="9"/>
  <c r="I63" i="9"/>
  <c r="K27" i="3"/>
  <c r="L24" i="3"/>
  <c r="L30" i="3" s="1"/>
  <c r="L25" i="3"/>
  <c r="L31" i="3" s="1"/>
  <c r="L26" i="3"/>
  <c r="L32" i="3" s="1"/>
  <c r="L23" i="3"/>
  <c r="L29" i="3" s="1"/>
  <c r="L22" i="3"/>
  <c r="L28" i="3" s="1"/>
  <c r="K57" i="9"/>
  <c r="K10" i="4"/>
  <c r="M30" i="5"/>
  <c r="O73" i="1" s="1"/>
  <c r="G78" i="9"/>
  <c r="G13" i="4"/>
  <c r="G11" i="22"/>
  <c r="K8" i="13"/>
  <c r="K8" i="4"/>
  <c r="K8" i="22"/>
  <c r="K8" i="10"/>
  <c r="K31" i="9"/>
  <c r="K55" i="9" s="1"/>
  <c r="J8" i="14"/>
  <c r="H11" i="22"/>
  <c r="H12" i="13" s="1"/>
  <c r="J74" i="9"/>
  <c r="J65" i="9"/>
  <c r="J75" i="9"/>
  <c r="J66" i="9"/>
  <c r="J76" i="9"/>
  <c r="J67" i="9"/>
  <c r="J69" i="9"/>
  <c r="J59" i="9"/>
  <c r="J70" i="9"/>
  <c r="J60" i="9"/>
  <c r="J64" i="9"/>
  <c r="J61" i="9"/>
  <c r="J62" i="9"/>
  <c r="J72" i="9"/>
  <c r="J71" i="9"/>
  <c r="C19" i="13"/>
  <c r="C10" i="14" s="1"/>
  <c r="C11" i="14" s="1"/>
  <c r="M11" i="3"/>
  <c r="N9" i="3"/>
  <c r="M8" i="3"/>
  <c r="L9" i="22"/>
  <c r="L9" i="13"/>
  <c r="L32" i="9"/>
  <c r="L56" i="9" s="1"/>
  <c r="L9" i="10"/>
  <c r="L9" i="14" s="1"/>
  <c r="L9" i="4"/>
  <c r="I68" i="9"/>
  <c r="I84" i="9"/>
  <c r="I82" i="9"/>
  <c r="I10" i="10"/>
  <c r="I80" i="9"/>
  <c r="I11" i="13"/>
  <c r="I83" i="9"/>
  <c r="I81" i="9"/>
  <c r="J33" i="3"/>
  <c r="H24" i="10"/>
  <c r="H13" i="10"/>
  <c r="H18" i="10"/>
  <c r="H12" i="22" s="1"/>
  <c r="H21" i="10"/>
  <c r="H26" i="10"/>
  <c r="D12" i="10"/>
  <c r="D17" i="10" s="1"/>
  <c r="J15" i="4"/>
  <c r="J25" i="4"/>
  <c r="J31" i="4"/>
  <c r="J26" i="4"/>
  <c r="J27" i="4"/>
  <c r="J34" i="4"/>
  <c r="J29" i="4"/>
  <c r="J28" i="4"/>
  <c r="J33" i="4"/>
  <c r="J30" i="4"/>
  <c r="J32" i="4"/>
  <c r="C29" i="13"/>
  <c r="C20" i="10"/>
  <c r="F14" i="4"/>
  <c r="F13" i="22" s="1"/>
  <c r="F10" i="22" s="1"/>
  <c r="F14" i="13" s="1"/>
  <c r="E23" i="10"/>
  <c r="E19" i="10"/>
  <c r="J72" i="1"/>
  <c r="J71" i="1" s="1"/>
  <c r="J76" i="1" s="1"/>
  <c r="H28" i="5"/>
  <c r="H79" i="9"/>
  <c r="F12" i="13"/>
  <c r="I73" i="9"/>
  <c r="I29" i="5"/>
  <c r="E13" i="22"/>
  <c r="U60" i="5"/>
  <c r="U71" i="5" s="1"/>
  <c r="Q12" i="4" s="1"/>
  <c r="Q22" i="10" s="1"/>
  <c r="S71" i="5"/>
  <c r="O12" i="4" s="1"/>
  <c r="R72" i="5"/>
  <c r="R73" i="5" s="1"/>
  <c r="Z59" i="5"/>
  <c r="AC69" i="5"/>
  <c r="AD69" i="5" s="1"/>
  <c r="AE69" i="5" s="1"/>
  <c r="W19" i="3"/>
  <c r="W20" i="3"/>
  <c r="Y12" i="3"/>
  <c r="B143" i="1"/>
  <c r="X15" i="3"/>
  <c r="X16" i="3"/>
  <c r="X18" i="3"/>
  <c r="X17" i="3"/>
  <c r="X14" i="3"/>
  <c r="L24" i="13"/>
  <c r="L8" i="27"/>
  <c r="L17" i="27" s="1"/>
  <c r="M9" i="27"/>
  <c r="M18" i="27" s="1"/>
  <c r="M13" i="27"/>
  <c r="M12" i="27"/>
  <c r="AD61" i="5"/>
  <c r="AB62" i="5"/>
  <c r="AC62" i="5" s="1"/>
  <c r="AD66" i="5"/>
  <c r="AE66" i="5" s="1"/>
  <c r="AF66" i="5" s="1"/>
  <c r="AG66" i="5" s="1"/>
  <c r="AH66" i="5" s="1"/>
  <c r="AI66" i="5" s="1"/>
  <c r="AJ66" i="5" s="1"/>
  <c r="AK66" i="5" s="1"/>
  <c r="AL66" i="5" s="1"/>
  <c r="AM66" i="5" s="1"/>
  <c r="AN66" i="5" s="1"/>
  <c r="AO66" i="5" s="1"/>
  <c r="AP66" i="5" s="1"/>
  <c r="AQ66" i="5" s="1"/>
  <c r="AR66" i="5" s="1"/>
  <c r="AS66" i="5" s="1"/>
  <c r="AT66" i="5" s="1"/>
  <c r="AU66" i="5" s="1"/>
  <c r="AV66" i="5" s="1"/>
  <c r="AW66" i="5" s="1"/>
  <c r="AX66" i="5" s="1"/>
  <c r="AY66" i="5" s="1"/>
  <c r="AZ66" i="5" s="1"/>
  <c r="BA66" i="5" s="1"/>
  <c r="BB66" i="5" s="1"/>
  <c r="BC66" i="5" s="1"/>
  <c r="BD66" i="5" s="1"/>
  <c r="BE66" i="5" s="1"/>
  <c r="BF66" i="5" s="1"/>
  <c r="BG66" i="5" s="1"/>
  <c r="BH66" i="5" s="1"/>
  <c r="BI66" i="5" s="1"/>
  <c r="BJ66" i="5" s="1"/>
  <c r="BK66" i="5" s="1"/>
  <c r="BL66" i="5" s="1"/>
  <c r="BM66" i="5" s="1"/>
  <c r="BN66" i="5" s="1"/>
  <c r="BO66" i="5" s="1"/>
  <c r="BP66" i="5" s="1"/>
  <c r="BQ66" i="5" s="1"/>
  <c r="BR66" i="5" s="1"/>
  <c r="BS66" i="5" s="1"/>
  <c r="BT66" i="5" s="1"/>
  <c r="BU66" i="5" s="1"/>
  <c r="BV66" i="5" s="1"/>
  <c r="BW66" i="5" s="1"/>
  <c r="BX66" i="5" s="1"/>
  <c r="BY66" i="5" s="1"/>
  <c r="BZ66" i="5" s="1"/>
  <c r="CA66" i="5" s="1"/>
  <c r="CB66" i="5" s="1"/>
  <c r="AC65" i="5"/>
  <c r="AD65" i="5" s="1"/>
  <c r="AE65" i="5" s="1"/>
  <c r="AF65" i="5" s="1"/>
  <c r="AG65" i="5" s="1"/>
  <c r="AH65" i="5" s="1"/>
  <c r="AI65" i="5" s="1"/>
  <c r="AJ65" i="5" s="1"/>
  <c r="AK65" i="5" s="1"/>
  <c r="AL65" i="5" s="1"/>
  <c r="AM65" i="5" s="1"/>
  <c r="AN65" i="5" s="1"/>
  <c r="AO65" i="5" s="1"/>
  <c r="AP65" i="5" s="1"/>
  <c r="AQ65" i="5" s="1"/>
  <c r="AR65" i="5" s="1"/>
  <c r="AS65" i="5" s="1"/>
  <c r="AT65" i="5" s="1"/>
  <c r="AU65" i="5" s="1"/>
  <c r="AV65" i="5" s="1"/>
  <c r="AW65" i="5" s="1"/>
  <c r="AX65" i="5" s="1"/>
  <c r="AY65" i="5" s="1"/>
  <c r="AZ65" i="5" s="1"/>
  <c r="BA65" i="5" s="1"/>
  <c r="BB65" i="5" s="1"/>
  <c r="BC65" i="5" s="1"/>
  <c r="BD65" i="5" s="1"/>
  <c r="BE65" i="5" s="1"/>
  <c r="BF65" i="5" s="1"/>
  <c r="BG65" i="5" s="1"/>
  <c r="BH65" i="5" s="1"/>
  <c r="BI65" i="5" s="1"/>
  <c r="BJ65" i="5" s="1"/>
  <c r="BK65" i="5" s="1"/>
  <c r="BL65" i="5" s="1"/>
  <c r="BM65" i="5" s="1"/>
  <c r="BN65" i="5" s="1"/>
  <c r="BO65" i="5" s="1"/>
  <c r="BP65" i="5" s="1"/>
  <c r="BQ65" i="5" s="1"/>
  <c r="BR65" i="5" s="1"/>
  <c r="BS65" i="5" s="1"/>
  <c r="BT65" i="5" s="1"/>
  <c r="BU65" i="5" s="1"/>
  <c r="BV65" i="5" s="1"/>
  <c r="BW65" i="5" s="1"/>
  <c r="BX65" i="5" s="1"/>
  <c r="BY65" i="5" s="1"/>
  <c r="BZ65" i="5" s="1"/>
  <c r="CA65" i="5" s="1"/>
  <c r="CB65" i="5" s="1"/>
  <c r="B15" i="14"/>
  <c r="B16" i="14" s="1"/>
  <c r="B12" i="14"/>
  <c r="E25" i="10" l="1"/>
  <c r="C15" i="14"/>
  <c r="H13" i="4"/>
  <c r="H14" i="4" s="1"/>
  <c r="H13" i="22" s="1"/>
  <c r="H10" i="22" s="1"/>
  <c r="H14" i="13" s="1"/>
  <c r="H15" i="13" s="1"/>
  <c r="J68" i="9"/>
  <c r="I77" i="9"/>
  <c r="I13" i="4" s="1"/>
  <c r="F15" i="13"/>
  <c r="J58" i="9"/>
  <c r="K75" i="9"/>
  <c r="K66" i="9"/>
  <c r="K76" i="9"/>
  <c r="K67" i="9"/>
  <c r="K69" i="9"/>
  <c r="K59" i="9"/>
  <c r="K70" i="9"/>
  <c r="K60" i="9"/>
  <c r="K71" i="9"/>
  <c r="K61" i="9"/>
  <c r="K74" i="9"/>
  <c r="K65" i="9"/>
  <c r="K72" i="9"/>
  <c r="K64" i="9"/>
  <c r="K62" i="9"/>
  <c r="J82" i="9"/>
  <c r="J11" i="13"/>
  <c r="J83" i="9"/>
  <c r="J84" i="9"/>
  <c r="J81" i="9"/>
  <c r="J80" i="9"/>
  <c r="K33" i="3"/>
  <c r="J10" i="10"/>
  <c r="L27" i="3"/>
  <c r="D15" i="13"/>
  <c r="H33" i="5"/>
  <c r="D17" i="13" s="1"/>
  <c r="C30" i="13"/>
  <c r="D23" i="10"/>
  <c r="B46" i="10" s="1"/>
  <c r="D19" i="10"/>
  <c r="D20" i="10" s="1"/>
  <c r="E20" i="10" s="1"/>
  <c r="I24" i="10"/>
  <c r="I26" i="10"/>
  <c r="I13" i="10"/>
  <c r="I21" i="10"/>
  <c r="I18" i="10"/>
  <c r="I12" i="22" s="1"/>
  <c r="K72" i="1"/>
  <c r="K71" i="1" s="1"/>
  <c r="K76" i="1" s="1"/>
  <c r="I28" i="5"/>
  <c r="I33" i="5" s="1"/>
  <c r="E17" i="13" s="1"/>
  <c r="J29" i="5"/>
  <c r="J24" i="4"/>
  <c r="J13" i="13" s="1"/>
  <c r="I79" i="9"/>
  <c r="F11" i="4"/>
  <c r="F35" i="4" s="1"/>
  <c r="F11" i="10" s="1"/>
  <c r="F12" i="10" s="1"/>
  <c r="F17" i="10" s="1"/>
  <c r="N30" i="5"/>
  <c r="L8" i="13"/>
  <c r="L8" i="4"/>
  <c r="L8" i="10"/>
  <c r="L31" i="9"/>
  <c r="L55" i="9" s="1"/>
  <c r="L8" i="22"/>
  <c r="J63" i="9"/>
  <c r="G12" i="13"/>
  <c r="N8" i="3"/>
  <c r="N11" i="3"/>
  <c r="O9" i="3"/>
  <c r="M9" i="4"/>
  <c r="M9" i="10"/>
  <c r="M9" i="14" s="1"/>
  <c r="M9" i="13"/>
  <c r="M9" i="22"/>
  <c r="M32" i="9"/>
  <c r="M56" i="9" s="1"/>
  <c r="G14" i="4"/>
  <c r="K29" i="5" s="1"/>
  <c r="E10" i="22"/>
  <c r="E14" i="13" s="1"/>
  <c r="E15" i="13" s="1"/>
  <c r="M26" i="3"/>
  <c r="M32" i="3" s="1"/>
  <c r="M22" i="3"/>
  <c r="M28" i="3" s="1"/>
  <c r="M25" i="3"/>
  <c r="M31" i="3" s="1"/>
  <c r="M24" i="3"/>
  <c r="M30" i="3" s="1"/>
  <c r="M23" i="3"/>
  <c r="M29" i="3" s="1"/>
  <c r="L10" i="4"/>
  <c r="L57" i="9"/>
  <c r="J73" i="9"/>
  <c r="K8" i="14"/>
  <c r="K16" i="4"/>
  <c r="K23" i="4"/>
  <c r="K20" i="4"/>
  <c r="K18" i="4"/>
  <c r="K22" i="4"/>
  <c r="K19" i="4"/>
  <c r="K15" i="4"/>
  <c r="K21" i="4"/>
  <c r="K34" i="4"/>
  <c r="K29" i="4"/>
  <c r="K33" i="4"/>
  <c r="K30" i="4"/>
  <c r="K32" i="4"/>
  <c r="N32" i="5" s="1"/>
  <c r="K25" i="4"/>
  <c r="K31" i="4"/>
  <c r="K26" i="4"/>
  <c r="K28" i="4"/>
  <c r="K27" i="4"/>
  <c r="V60" i="5"/>
  <c r="W60" i="5" s="1"/>
  <c r="W71" i="5" s="1"/>
  <c r="S12" i="4" s="1"/>
  <c r="S22" i="10" s="1"/>
  <c r="O22" i="10"/>
  <c r="S72" i="5"/>
  <c r="M17" i="4"/>
  <c r="AA59" i="5"/>
  <c r="AF69" i="5"/>
  <c r="AG69" i="5" s="1"/>
  <c r="AH69" i="5" s="1"/>
  <c r="Y16" i="3"/>
  <c r="Y17" i="3"/>
  <c r="Y14" i="3"/>
  <c r="Y18" i="3"/>
  <c r="Y15" i="3"/>
  <c r="X19" i="3"/>
  <c r="X20" i="3"/>
  <c r="M24" i="13"/>
  <c r="M8" i="27"/>
  <c r="M17" i="27" s="1"/>
  <c r="N9" i="27"/>
  <c r="N18" i="27" s="1"/>
  <c r="L23" i="13"/>
  <c r="N13" i="27"/>
  <c r="N12" i="27"/>
  <c r="AE61" i="5"/>
  <c r="AD62" i="5"/>
  <c r="AE62" i="5" s="1"/>
  <c r="AF62" i="5" s="1"/>
  <c r="AG62" i="5" s="1"/>
  <c r="AH62" i="5" s="1"/>
  <c r="AI62" i="5" s="1"/>
  <c r="AJ62" i="5" s="1"/>
  <c r="AK62" i="5" s="1"/>
  <c r="AL62" i="5" s="1"/>
  <c r="AM62" i="5" s="1"/>
  <c r="AN62" i="5" s="1"/>
  <c r="AO62" i="5" s="1"/>
  <c r="AP62" i="5" s="1"/>
  <c r="AQ62" i="5" s="1"/>
  <c r="AR62" i="5" s="1"/>
  <c r="AS62" i="5" s="1"/>
  <c r="AT62" i="5" s="1"/>
  <c r="AU62" i="5" s="1"/>
  <c r="AV62" i="5" s="1"/>
  <c r="AW62" i="5" s="1"/>
  <c r="AX62" i="5" s="1"/>
  <c r="AY62" i="5" s="1"/>
  <c r="AZ62" i="5" s="1"/>
  <c r="BA62" i="5" s="1"/>
  <c r="BB62" i="5" s="1"/>
  <c r="BC62" i="5" s="1"/>
  <c r="BD62" i="5" s="1"/>
  <c r="BE62" i="5" s="1"/>
  <c r="BF62" i="5" s="1"/>
  <c r="BG62" i="5" s="1"/>
  <c r="BH62" i="5" s="1"/>
  <c r="BI62" i="5" s="1"/>
  <c r="BJ62" i="5" s="1"/>
  <c r="BK62" i="5" s="1"/>
  <c r="BL62" i="5" s="1"/>
  <c r="BM62" i="5" s="1"/>
  <c r="BN62" i="5" s="1"/>
  <c r="BO62" i="5" s="1"/>
  <c r="BP62" i="5" s="1"/>
  <c r="BQ62" i="5" s="1"/>
  <c r="BR62" i="5" s="1"/>
  <c r="BS62" i="5" s="1"/>
  <c r="BT62" i="5" s="1"/>
  <c r="BU62" i="5" s="1"/>
  <c r="BV62" i="5" s="1"/>
  <c r="BW62" i="5" s="1"/>
  <c r="BX62" i="5" s="1"/>
  <c r="BY62" i="5" s="1"/>
  <c r="BZ62" i="5" s="1"/>
  <c r="CA62" i="5" s="1"/>
  <c r="CB62" i="5" s="1"/>
  <c r="C16" i="14"/>
  <c r="B18" i="14"/>
  <c r="B17" i="14"/>
  <c r="C12" i="14"/>
  <c r="D25" i="10" l="1"/>
  <c r="B48" i="10" s="1"/>
  <c r="H11" i="4"/>
  <c r="H35" i="4" s="1"/>
  <c r="H11" i="10" s="1"/>
  <c r="H12" i="10" s="1"/>
  <c r="H17" i="10" s="1"/>
  <c r="H19" i="10" s="1"/>
  <c r="I78" i="9"/>
  <c r="I11" i="22"/>
  <c r="I12" i="13" s="1"/>
  <c r="J77" i="9"/>
  <c r="J13" i="4" s="1"/>
  <c r="G11" i="4"/>
  <c r="G35" i="4" s="1"/>
  <c r="G11" i="10" s="1"/>
  <c r="G12" i="10" s="1"/>
  <c r="G17" i="10" s="1"/>
  <c r="G19" i="10" s="1"/>
  <c r="J79" i="9"/>
  <c r="K24" i="4"/>
  <c r="K13" i="13" s="1"/>
  <c r="K28" i="5"/>
  <c r="K33" i="5" s="1"/>
  <c r="G17" i="13" s="1"/>
  <c r="G18" i="13" s="1"/>
  <c r="M72" i="1"/>
  <c r="M71" i="1" s="1"/>
  <c r="M76" i="1" s="1"/>
  <c r="L76" i="9"/>
  <c r="L67" i="9"/>
  <c r="L69" i="9"/>
  <c r="L59" i="9"/>
  <c r="L70" i="9"/>
  <c r="L60" i="9"/>
  <c r="L71" i="9"/>
  <c r="L61" i="9"/>
  <c r="L72" i="9"/>
  <c r="L62" i="9"/>
  <c r="L75" i="9"/>
  <c r="L66" i="9"/>
  <c r="L65" i="9"/>
  <c r="L74" i="9"/>
  <c r="L64" i="9"/>
  <c r="L16" i="4"/>
  <c r="L21" i="4"/>
  <c r="L19" i="4"/>
  <c r="L18" i="4"/>
  <c r="L22" i="4"/>
  <c r="L23" i="4"/>
  <c r="L15" i="4"/>
  <c r="L20" i="4"/>
  <c r="L32" i="4"/>
  <c r="L31" i="4"/>
  <c r="L30" i="4"/>
  <c r="L27" i="4"/>
  <c r="L29" i="4"/>
  <c r="L34" i="4"/>
  <c r="L26" i="4"/>
  <c r="L33" i="4"/>
  <c r="L25" i="4"/>
  <c r="L28" i="4"/>
  <c r="L29" i="5"/>
  <c r="D29" i="13"/>
  <c r="G13" i="22"/>
  <c r="O11" i="3"/>
  <c r="O8" i="3"/>
  <c r="P9" i="3"/>
  <c r="N9" i="10"/>
  <c r="N9" i="14" s="1"/>
  <c r="N9" i="22"/>
  <c r="N9" i="13"/>
  <c r="N32" i="9"/>
  <c r="N56" i="9" s="1"/>
  <c r="N9" i="4"/>
  <c r="L8" i="14"/>
  <c r="C33" i="13"/>
  <c r="C34" i="13" s="1"/>
  <c r="C32" i="13"/>
  <c r="C31" i="13"/>
  <c r="J21" i="10"/>
  <c r="J26" i="10"/>
  <c r="J24" i="10"/>
  <c r="J13" i="10"/>
  <c r="J18" i="10"/>
  <c r="N31" i="5"/>
  <c r="N22" i="3"/>
  <c r="N28" i="3" s="1"/>
  <c r="N23" i="3"/>
  <c r="N29" i="3" s="1"/>
  <c r="N24" i="3"/>
  <c r="N30" i="3" s="1"/>
  <c r="N25" i="3"/>
  <c r="N31" i="3" s="1"/>
  <c r="N26" i="3"/>
  <c r="N32" i="3" s="1"/>
  <c r="M57" i="9"/>
  <c r="M10" i="4"/>
  <c r="K63" i="9"/>
  <c r="K58" i="9"/>
  <c r="M8" i="13"/>
  <c r="M8" i="4"/>
  <c r="M31" i="9"/>
  <c r="M55" i="9" s="1"/>
  <c r="M8" i="22"/>
  <c r="M8" i="10"/>
  <c r="D18" i="13"/>
  <c r="D19" i="13" s="1"/>
  <c r="K68" i="9"/>
  <c r="P75" i="1"/>
  <c r="C32" i="5"/>
  <c r="M27" i="3"/>
  <c r="J28" i="5"/>
  <c r="J33" i="5" s="1"/>
  <c r="F17" i="13" s="1"/>
  <c r="F18" i="13" s="1"/>
  <c r="F19" i="13" s="1"/>
  <c r="F10" i="14" s="1"/>
  <c r="F11" i="14" s="1"/>
  <c r="F15" i="14" s="1"/>
  <c r="L72" i="1"/>
  <c r="L71" i="1" s="1"/>
  <c r="L76" i="1" s="1"/>
  <c r="K73" i="9"/>
  <c r="I14" i="4"/>
  <c r="I13" i="22" s="1"/>
  <c r="E18" i="13"/>
  <c r="E19" i="13" s="1"/>
  <c r="P73" i="1"/>
  <c r="C30" i="5"/>
  <c r="F19" i="10"/>
  <c r="F20" i="10" s="1"/>
  <c r="F23" i="10"/>
  <c r="K10" i="10"/>
  <c r="L33" i="3"/>
  <c r="K11" i="13"/>
  <c r="V71" i="5"/>
  <c r="R12" i="4" s="1"/>
  <c r="R22" i="10" s="1"/>
  <c r="X60" i="5"/>
  <c r="Y60" i="5" s="1"/>
  <c r="Y71" i="5" s="1"/>
  <c r="U12" i="4" s="1"/>
  <c r="U22" i="10" s="1"/>
  <c r="T72" i="5"/>
  <c r="S73" i="5"/>
  <c r="N17" i="4"/>
  <c r="AB59" i="5"/>
  <c r="AC59" i="5" s="1"/>
  <c r="AI69" i="5"/>
  <c r="AJ69" i="5" s="1"/>
  <c r="AK69" i="5" s="1"/>
  <c r="AL69" i="5" s="1"/>
  <c r="AM69" i="5" s="1"/>
  <c r="AN69" i="5" s="1"/>
  <c r="AO69" i="5" s="1"/>
  <c r="AP69" i="5" s="1"/>
  <c r="AQ69" i="5" s="1"/>
  <c r="AR69" i="5" s="1"/>
  <c r="Y19" i="3"/>
  <c r="Y20" i="3"/>
  <c r="O13" i="27"/>
  <c r="O12" i="27"/>
  <c r="N24" i="13"/>
  <c r="N8" i="27"/>
  <c r="N17" i="27" s="1"/>
  <c r="O9" i="27"/>
  <c r="O18" i="27" s="1"/>
  <c r="M23" i="13"/>
  <c r="AF61" i="5"/>
  <c r="C18" i="14"/>
  <c r="C17" i="14"/>
  <c r="F25" i="10" l="1"/>
  <c r="I10" i="22"/>
  <c r="I14" i="13" s="1"/>
  <c r="I15" i="13" s="1"/>
  <c r="H23" i="10"/>
  <c r="H25" i="10" s="1"/>
  <c r="K81" i="9"/>
  <c r="G23" i="10"/>
  <c r="G25" i="10" s="1"/>
  <c r="J11" i="22"/>
  <c r="J12" i="13" s="1"/>
  <c r="J78" i="9"/>
  <c r="O31" i="5"/>
  <c r="Q74" i="1" s="1"/>
  <c r="Q71" i="1" s="1"/>
  <c r="Q76" i="1" s="1"/>
  <c r="I11" i="4"/>
  <c r="I35" i="4" s="1"/>
  <c r="I11" i="10" s="1"/>
  <c r="I12" i="10" s="1"/>
  <c r="I17" i="10" s="1"/>
  <c r="I19" i="10" s="1"/>
  <c r="M29" i="5"/>
  <c r="O72" i="1" s="1"/>
  <c r="O71" i="1" s="1"/>
  <c r="O76" i="1" s="1"/>
  <c r="L73" i="9"/>
  <c r="K77" i="9"/>
  <c r="K13" i="4" s="1"/>
  <c r="G20" i="10"/>
  <c r="H20" i="10" s="1"/>
  <c r="E10" i="14"/>
  <c r="E11" i="14" s="1"/>
  <c r="E15" i="14" s="1"/>
  <c r="C75" i="1"/>
  <c r="D75" i="1" s="1"/>
  <c r="E75" i="1" s="1"/>
  <c r="E32" i="5"/>
  <c r="K84" i="9"/>
  <c r="J12" i="22"/>
  <c r="L63" i="9"/>
  <c r="K80" i="9"/>
  <c r="M69" i="9"/>
  <c r="M59" i="9"/>
  <c r="M70" i="9"/>
  <c r="M60" i="9"/>
  <c r="M71" i="9"/>
  <c r="M61" i="9"/>
  <c r="M72" i="9"/>
  <c r="M62" i="9"/>
  <c r="M64" i="9"/>
  <c r="M76" i="9"/>
  <c r="M67" i="9"/>
  <c r="M74" i="9"/>
  <c r="M75" i="9"/>
  <c r="M65" i="9"/>
  <c r="M66" i="9"/>
  <c r="P11" i="3"/>
  <c r="P8" i="3"/>
  <c r="O9" i="22"/>
  <c r="O9" i="4"/>
  <c r="O9" i="10"/>
  <c r="O9" i="14" s="1"/>
  <c r="Q9" i="3"/>
  <c r="O9" i="13"/>
  <c r="O32" i="9"/>
  <c r="O56" i="9" s="1"/>
  <c r="L24" i="4"/>
  <c r="L13" i="13" s="1"/>
  <c r="P74" i="1"/>
  <c r="N8" i="4"/>
  <c r="N8" i="13"/>
  <c r="N31" i="9"/>
  <c r="N55" i="9" s="1"/>
  <c r="N8" i="10"/>
  <c r="N8" i="22"/>
  <c r="L58" i="9"/>
  <c r="L80" i="9" s="1"/>
  <c r="O23" i="3"/>
  <c r="O29" i="3" s="1"/>
  <c r="O24" i="3"/>
  <c r="O30" i="3" s="1"/>
  <c r="O25" i="3"/>
  <c r="O31" i="3" s="1"/>
  <c r="O26" i="3"/>
  <c r="O32" i="3" s="1"/>
  <c r="O22" i="3"/>
  <c r="O28" i="3" s="1"/>
  <c r="N10" i="4"/>
  <c r="N57" i="9"/>
  <c r="D30" i="13"/>
  <c r="E29" i="13"/>
  <c r="L68" i="9"/>
  <c r="M19" i="4"/>
  <c r="M18" i="4"/>
  <c r="M20" i="4"/>
  <c r="M16" i="4"/>
  <c r="M21" i="4"/>
  <c r="M22" i="4"/>
  <c r="M23" i="4"/>
  <c r="M15" i="4"/>
  <c r="M27" i="4"/>
  <c r="M29" i="4"/>
  <c r="M28" i="4"/>
  <c r="M31" i="4"/>
  <c r="M30" i="4"/>
  <c r="M32" i="4"/>
  <c r="M33" i="4"/>
  <c r="M26" i="4"/>
  <c r="M34" i="4"/>
  <c r="M25" i="4"/>
  <c r="K83" i="9"/>
  <c r="J14" i="4"/>
  <c r="J13" i="22" s="1"/>
  <c r="N27" i="3"/>
  <c r="K82" i="9"/>
  <c r="L10" i="10"/>
  <c r="M33" i="3"/>
  <c r="L11" i="13"/>
  <c r="D10" i="14"/>
  <c r="D11" i="14" s="1"/>
  <c r="G10" i="22"/>
  <c r="G14" i="13" s="1"/>
  <c r="G15" i="13" s="1"/>
  <c r="G19" i="13" s="1"/>
  <c r="G10" i="14" s="1"/>
  <c r="G11" i="14" s="1"/>
  <c r="G15" i="14" s="1"/>
  <c r="C73" i="1"/>
  <c r="D73" i="1" s="1"/>
  <c r="E73" i="1" s="1"/>
  <c r="E30" i="5"/>
  <c r="M8" i="14"/>
  <c r="N72" i="1"/>
  <c r="N71" i="1" s="1"/>
  <c r="N76" i="1" s="1"/>
  <c r="L28" i="5"/>
  <c r="L33" i="5" s="1"/>
  <c r="H17" i="13" s="1"/>
  <c r="Z60" i="5"/>
  <c r="AA60" i="5" s="1"/>
  <c r="X71" i="5"/>
  <c r="T12" i="4" s="1"/>
  <c r="T22" i="10" s="1"/>
  <c r="T73" i="5"/>
  <c r="P17" i="4" s="1"/>
  <c r="U72" i="5"/>
  <c r="O17" i="4"/>
  <c r="AD59" i="5"/>
  <c r="AE59" i="5" s="1"/>
  <c r="AS69" i="5"/>
  <c r="AT69" i="5" s="1"/>
  <c r="AU69" i="5" s="1"/>
  <c r="AV69" i="5" s="1"/>
  <c r="AW69" i="5" s="1"/>
  <c r="AX69" i="5" s="1"/>
  <c r="AY69" i="5" s="1"/>
  <c r="AZ69" i="5" s="1"/>
  <c r="BA69" i="5" s="1"/>
  <c r="BB69" i="5" s="1"/>
  <c r="BC69" i="5" s="1"/>
  <c r="BD69" i="5" s="1"/>
  <c r="BE69" i="5" s="1"/>
  <c r="BF69" i="5" s="1"/>
  <c r="BG69" i="5" s="1"/>
  <c r="BH69" i="5" s="1"/>
  <c r="BI69" i="5" s="1"/>
  <c r="BJ69" i="5" s="1"/>
  <c r="BK69" i="5" s="1"/>
  <c r="BL69" i="5" s="1"/>
  <c r="BM69" i="5" s="1"/>
  <c r="BN69" i="5" s="1"/>
  <c r="BO69" i="5" s="1"/>
  <c r="BP69" i="5" s="1"/>
  <c r="BQ69" i="5" s="1"/>
  <c r="BR69" i="5" s="1"/>
  <c r="BS69" i="5" s="1"/>
  <c r="BT69" i="5" s="1"/>
  <c r="BU69" i="5" s="1"/>
  <c r="BV69" i="5" s="1"/>
  <c r="BW69" i="5" s="1"/>
  <c r="BX69" i="5" s="1"/>
  <c r="BY69" i="5" s="1"/>
  <c r="BZ69" i="5" s="1"/>
  <c r="CA69" i="5" s="1"/>
  <c r="CB69" i="5" s="1"/>
  <c r="P9" i="27"/>
  <c r="P18" i="27" s="1"/>
  <c r="O8" i="27"/>
  <c r="O17" i="27" s="1"/>
  <c r="N23" i="13"/>
  <c r="P12" i="27"/>
  <c r="P13" i="27"/>
  <c r="O24" i="13"/>
  <c r="AG61" i="5"/>
  <c r="C31" i="5" l="1"/>
  <c r="C74" i="1" s="1"/>
  <c r="D74" i="1" s="1"/>
  <c r="E74" i="1" s="1"/>
  <c r="K78" i="9"/>
  <c r="M28" i="5"/>
  <c r="M33" i="5" s="1"/>
  <c r="I17" i="13" s="1"/>
  <c r="I18" i="13" s="1"/>
  <c r="I19" i="13" s="1"/>
  <c r="I10" i="14" s="1"/>
  <c r="I11" i="14" s="1"/>
  <c r="I15" i="14" s="1"/>
  <c r="K11" i="22"/>
  <c r="K12" i="13" s="1"/>
  <c r="L84" i="9"/>
  <c r="L82" i="9"/>
  <c r="L83" i="9"/>
  <c r="I20" i="10"/>
  <c r="O28" i="5"/>
  <c r="O33" i="5" s="1"/>
  <c r="K17" i="13" s="1"/>
  <c r="K18" i="13" s="1"/>
  <c r="M63" i="9"/>
  <c r="M68" i="9"/>
  <c r="I23" i="10"/>
  <c r="I25" i="10" s="1"/>
  <c r="N29" i="5"/>
  <c r="N28" i="5" s="1"/>
  <c r="N33" i="5" s="1"/>
  <c r="J17" i="13" s="1"/>
  <c r="J18" i="13" s="1"/>
  <c r="L77" i="9"/>
  <c r="L78" i="9" s="1"/>
  <c r="M73" i="9"/>
  <c r="J10" i="22"/>
  <c r="J14" i="13" s="1"/>
  <c r="J15" i="13" s="1"/>
  <c r="M24" i="4"/>
  <c r="M13" i="13" s="1"/>
  <c r="L81" i="9"/>
  <c r="J11" i="4"/>
  <c r="J35" i="4" s="1"/>
  <c r="J11" i="10" s="1"/>
  <c r="J12" i="10" s="1"/>
  <c r="J17" i="10" s="1"/>
  <c r="F29" i="13"/>
  <c r="E30" i="13"/>
  <c r="O27" i="3"/>
  <c r="O8" i="4"/>
  <c r="O8" i="13"/>
  <c r="O8" i="22"/>
  <c r="O8" i="10"/>
  <c r="O8" i="14" s="1"/>
  <c r="O31" i="9"/>
  <c r="O55" i="9" s="1"/>
  <c r="M58" i="9"/>
  <c r="K79" i="9"/>
  <c r="D33" i="13"/>
  <c r="D34" i="13" s="1"/>
  <c r="D32" i="13"/>
  <c r="D31" i="13"/>
  <c r="P24" i="3"/>
  <c r="P30" i="3" s="1"/>
  <c r="P25" i="3"/>
  <c r="P31" i="3" s="1"/>
  <c r="P26" i="3"/>
  <c r="P32" i="3" s="1"/>
  <c r="P23" i="3"/>
  <c r="P29" i="3" s="1"/>
  <c r="P22" i="3"/>
  <c r="P28" i="3" s="1"/>
  <c r="O57" i="9"/>
  <c r="O10" i="4"/>
  <c r="N70" i="9"/>
  <c r="N60" i="9"/>
  <c r="N71" i="9"/>
  <c r="N62" i="9"/>
  <c r="N72" i="9"/>
  <c r="N64" i="9"/>
  <c r="N74" i="9"/>
  <c r="N65" i="9"/>
  <c r="N69" i="9"/>
  <c r="N59" i="9"/>
  <c r="N75" i="9"/>
  <c r="N67" i="9"/>
  <c r="N76" i="9"/>
  <c r="N66" i="9"/>
  <c r="N61" i="9"/>
  <c r="N8" i="14"/>
  <c r="N16" i="4"/>
  <c r="N19" i="4"/>
  <c r="N15" i="4"/>
  <c r="N18" i="4"/>
  <c r="N20" i="4"/>
  <c r="N21" i="4"/>
  <c r="N23" i="4"/>
  <c r="N22" i="4"/>
  <c r="N34" i="4"/>
  <c r="N32" i="4"/>
  <c r="N25" i="4"/>
  <c r="N33" i="4"/>
  <c r="N28" i="4"/>
  <c r="N31" i="4"/>
  <c r="N29" i="4"/>
  <c r="N30" i="4"/>
  <c r="S74" i="1" s="1"/>
  <c r="N27" i="4"/>
  <c r="N26" i="4"/>
  <c r="K14" i="4"/>
  <c r="K11" i="4" s="1"/>
  <c r="K35" i="4" s="1"/>
  <c r="K11" i="10" s="1"/>
  <c r="K12" i="10" s="1"/>
  <c r="Q8" i="3"/>
  <c r="R9" i="3"/>
  <c r="P9" i="10"/>
  <c r="P9" i="14" s="1"/>
  <c r="Q11" i="3"/>
  <c r="P9" i="22"/>
  <c r="P9" i="13"/>
  <c r="P32" i="9"/>
  <c r="P56" i="9" s="1"/>
  <c r="P9" i="4"/>
  <c r="D15" i="14"/>
  <c r="D16" i="14" s="1"/>
  <c r="D12" i="14"/>
  <c r="M10" i="10"/>
  <c r="M11" i="13"/>
  <c r="N33" i="3"/>
  <c r="H18" i="13"/>
  <c r="H19" i="13" s="1"/>
  <c r="H10" i="14" s="1"/>
  <c r="H11" i="14" s="1"/>
  <c r="H15" i="14" s="1"/>
  <c r="Z71" i="5"/>
  <c r="V12" i="4" s="1"/>
  <c r="V22" i="10" s="1"/>
  <c r="U73" i="5"/>
  <c r="Q17" i="4" s="1"/>
  <c r="V72" i="5"/>
  <c r="AF59" i="5"/>
  <c r="AG59" i="5" s="1"/>
  <c r="AA71" i="5"/>
  <c r="W12" i="4" s="1"/>
  <c r="W22" i="10" s="1"/>
  <c r="AB60" i="5"/>
  <c r="P8" i="27"/>
  <c r="P17" i="27" s="1"/>
  <c r="Q9" i="27"/>
  <c r="Q18" i="27" s="1"/>
  <c r="O23" i="13"/>
  <c r="Q13" i="27"/>
  <c r="Q12" i="27"/>
  <c r="P24" i="13"/>
  <c r="AH61" i="5"/>
  <c r="M77" i="9" l="1"/>
  <c r="M11" i="22" s="1"/>
  <c r="M12" i="13" s="1"/>
  <c r="E31" i="5"/>
  <c r="P72" i="1"/>
  <c r="P71" i="1" s="1"/>
  <c r="P76" i="1" s="1"/>
  <c r="M84" i="9"/>
  <c r="M81" i="9"/>
  <c r="M82" i="9"/>
  <c r="L79" i="9"/>
  <c r="C29" i="5"/>
  <c r="C72" i="1" s="1"/>
  <c r="L13" i="4"/>
  <c r="L14" i="4" s="1"/>
  <c r="L11" i="4" s="1"/>
  <c r="L35" i="4" s="1"/>
  <c r="L11" i="10" s="1"/>
  <c r="L11" i="22"/>
  <c r="L12" i="13" s="1"/>
  <c r="M80" i="9"/>
  <c r="M83" i="9"/>
  <c r="K13" i="10"/>
  <c r="K17" i="10"/>
  <c r="N73" i="9"/>
  <c r="O71" i="9"/>
  <c r="O62" i="9"/>
  <c r="O72" i="9"/>
  <c r="O64" i="9"/>
  <c r="O74" i="9"/>
  <c r="O65" i="9"/>
  <c r="O75" i="9"/>
  <c r="O66" i="9"/>
  <c r="O70" i="9"/>
  <c r="O60" i="9"/>
  <c r="O76" i="9"/>
  <c r="O59" i="9"/>
  <c r="O69" i="9"/>
  <c r="O67" i="9"/>
  <c r="O61" i="9"/>
  <c r="O15" i="4"/>
  <c r="O16" i="4"/>
  <c r="O19" i="4"/>
  <c r="O20" i="4"/>
  <c r="O21" i="4"/>
  <c r="O22" i="4"/>
  <c r="O23" i="4"/>
  <c r="O18" i="4"/>
  <c r="O31" i="4"/>
  <c r="O32" i="4"/>
  <c r="O28" i="4"/>
  <c r="O27" i="4"/>
  <c r="O30" i="4"/>
  <c r="O25" i="4"/>
  <c r="O34" i="4"/>
  <c r="O29" i="4"/>
  <c r="O26" i="4"/>
  <c r="O33" i="4"/>
  <c r="J19" i="13"/>
  <c r="J10" i="14" s="1"/>
  <c r="J11" i="14" s="1"/>
  <c r="J15" i="14" s="1"/>
  <c r="N63" i="9"/>
  <c r="P27" i="3"/>
  <c r="Q25" i="3"/>
  <c r="Q31" i="3" s="1"/>
  <c r="Q26" i="3"/>
  <c r="Q32" i="3" s="1"/>
  <c r="Q24" i="3"/>
  <c r="Q30" i="3" s="1"/>
  <c r="Q22" i="3"/>
  <c r="Q28" i="3" s="1"/>
  <c r="Q23" i="3"/>
  <c r="Q29" i="3" s="1"/>
  <c r="P10" i="4"/>
  <c r="P57" i="9"/>
  <c r="C28" i="5"/>
  <c r="O33" i="3"/>
  <c r="N10" i="10"/>
  <c r="N11" i="13"/>
  <c r="E33" i="13"/>
  <c r="E34" i="13" s="1"/>
  <c r="E32" i="13"/>
  <c r="E31" i="13"/>
  <c r="E12" i="14"/>
  <c r="D17" i="14"/>
  <c r="R8" i="3"/>
  <c r="S9" i="3"/>
  <c r="R11" i="3"/>
  <c r="Q9" i="22"/>
  <c r="Q9" i="4"/>
  <c r="Q9" i="10"/>
  <c r="Q9" i="14" s="1"/>
  <c r="Q9" i="13"/>
  <c r="Q32" i="9"/>
  <c r="Q56" i="9" s="1"/>
  <c r="N24" i="4"/>
  <c r="N13" i="13" s="1"/>
  <c r="S73" i="1"/>
  <c r="N58" i="9"/>
  <c r="F30" i="13"/>
  <c r="G29" i="13"/>
  <c r="K13" i="22"/>
  <c r="K18" i="10"/>
  <c r="D18" i="14"/>
  <c r="E16" i="14"/>
  <c r="P8" i="13"/>
  <c r="P8" i="10"/>
  <c r="P8" i="14" s="1"/>
  <c r="P31" i="9"/>
  <c r="P55" i="9" s="1"/>
  <c r="P8" i="22"/>
  <c r="P8" i="4"/>
  <c r="N68" i="9"/>
  <c r="J19" i="10"/>
  <c r="J20" i="10" s="1"/>
  <c r="J23" i="10"/>
  <c r="J25" i="10" s="1"/>
  <c r="W72" i="5"/>
  <c r="V73" i="5"/>
  <c r="AH59" i="5"/>
  <c r="AB71" i="5"/>
  <c r="X12" i="4" s="1"/>
  <c r="X22" i="10" s="1"/>
  <c r="AC60" i="5"/>
  <c r="P23" i="13"/>
  <c r="Q8" i="27"/>
  <c r="Q17" i="27" s="1"/>
  <c r="R9" i="27"/>
  <c r="R18" i="27" s="1"/>
  <c r="Q24" i="13"/>
  <c r="R13" i="27"/>
  <c r="R12" i="27"/>
  <c r="AI61" i="5"/>
  <c r="M13" i="4" l="1"/>
  <c r="M14" i="4" s="1"/>
  <c r="M11" i="4" s="1"/>
  <c r="M35" i="4" s="1"/>
  <c r="M11" i="10" s="1"/>
  <c r="M78" i="9"/>
  <c r="E29" i="5"/>
  <c r="M79" i="9"/>
  <c r="N80" i="9"/>
  <c r="N81" i="9"/>
  <c r="N83" i="9"/>
  <c r="O58" i="9"/>
  <c r="L12" i="10"/>
  <c r="E17" i="14"/>
  <c r="F12" i="14"/>
  <c r="C33" i="5"/>
  <c r="E28" i="5"/>
  <c r="E33" i="5" s="1"/>
  <c r="E18" i="14"/>
  <c r="F16" i="14"/>
  <c r="L13" i="22"/>
  <c r="L18" i="10"/>
  <c r="L12" i="22" s="1"/>
  <c r="P72" i="9"/>
  <c r="P64" i="9"/>
  <c r="P74" i="9"/>
  <c r="P65" i="9"/>
  <c r="P75" i="9"/>
  <c r="P66" i="9"/>
  <c r="P76" i="9"/>
  <c r="P67" i="9"/>
  <c r="P71" i="9"/>
  <c r="P62" i="9"/>
  <c r="P69" i="9"/>
  <c r="P70" i="9"/>
  <c r="P60" i="9"/>
  <c r="P59" i="9"/>
  <c r="P61" i="9"/>
  <c r="D72" i="1"/>
  <c r="C71" i="1"/>
  <c r="O24" i="4"/>
  <c r="O13" i="13" s="1"/>
  <c r="O68" i="9"/>
  <c r="O73" i="9"/>
  <c r="H29" i="13"/>
  <c r="G30" i="13"/>
  <c r="R26" i="3"/>
  <c r="R32" i="3" s="1"/>
  <c r="R22" i="3"/>
  <c r="R28" i="3" s="1"/>
  <c r="R25" i="3"/>
  <c r="R31" i="3" s="1"/>
  <c r="R23" i="3"/>
  <c r="R29" i="3" s="1"/>
  <c r="R24" i="3"/>
  <c r="R30" i="3" s="1"/>
  <c r="Q57" i="9"/>
  <c r="Q10" i="4"/>
  <c r="N82" i="9"/>
  <c r="P15" i="4"/>
  <c r="P16" i="4"/>
  <c r="P19" i="4"/>
  <c r="P18" i="4"/>
  <c r="P20" i="4"/>
  <c r="P23" i="4"/>
  <c r="P22" i="4"/>
  <c r="P21" i="4"/>
  <c r="P27" i="4"/>
  <c r="P28" i="4"/>
  <c r="P32" i="4"/>
  <c r="P26" i="4"/>
  <c r="P31" i="4"/>
  <c r="P25" i="4"/>
  <c r="P33" i="4"/>
  <c r="P29" i="4"/>
  <c r="P34" i="4"/>
  <c r="P30" i="4"/>
  <c r="P33" i="3"/>
  <c r="O10" i="10"/>
  <c r="O11" i="13"/>
  <c r="O63" i="9"/>
  <c r="K12" i="22"/>
  <c r="Q8" i="13"/>
  <c r="Q8" i="4"/>
  <c r="Q8" i="22"/>
  <c r="Q31" i="9"/>
  <c r="Q55" i="9" s="1"/>
  <c r="Q8" i="10"/>
  <c r="N84" i="9"/>
  <c r="Q27" i="3"/>
  <c r="T9" i="3"/>
  <c r="S8" i="3"/>
  <c r="S11" i="3"/>
  <c r="R9" i="10"/>
  <c r="R9" i="14" s="1"/>
  <c r="R9" i="13"/>
  <c r="R9" i="22"/>
  <c r="R32" i="9"/>
  <c r="R56" i="9" s="1"/>
  <c r="R9" i="4"/>
  <c r="K19" i="10"/>
  <c r="K21" i="10" s="1"/>
  <c r="K23" i="10"/>
  <c r="N77" i="9"/>
  <c r="F33" i="13"/>
  <c r="F34" i="13" s="1"/>
  <c r="F31" i="13"/>
  <c r="F32" i="13"/>
  <c r="X72" i="5"/>
  <c r="W73" i="5"/>
  <c r="R17" i="4"/>
  <c r="AI59" i="5"/>
  <c r="AJ59" i="5" s="1"/>
  <c r="AD60" i="5"/>
  <c r="AC71" i="5"/>
  <c r="Y12" i="4" s="1"/>
  <c r="Y22" i="10" s="1"/>
  <c r="S12" i="27"/>
  <c r="S13" i="27"/>
  <c r="R8" i="27"/>
  <c r="R17" i="27" s="1"/>
  <c r="S9" i="27"/>
  <c r="S18" i="27" s="1"/>
  <c r="R24" i="13"/>
  <c r="Q23" i="13"/>
  <c r="AJ61" i="5"/>
  <c r="L10" i="22" l="1"/>
  <c r="L14" i="13" s="1"/>
  <c r="L15" i="13" s="1"/>
  <c r="L19" i="13" s="1"/>
  <c r="L10" i="14" s="1"/>
  <c r="L11" i="14" s="1"/>
  <c r="L15" i="14" s="1"/>
  <c r="O83" i="9"/>
  <c r="O84" i="9"/>
  <c r="O82" i="9"/>
  <c r="O81" i="9"/>
  <c r="O80" i="9"/>
  <c r="K20" i="10"/>
  <c r="N79" i="9"/>
  <c r="M12" i="10"/>
  <c r="Q8" i="14"/>
  <c r="R27" i="3"/>
  <c r="P68" i="9"/>
  <c r="P73" i="9"/>
  <c r="K25" i="10"/>
  <c r="K24" i="10"/>
  <c r="P63" i="9"/>
  <c r="F17" i="14"/>
  <c r="G12" i="14"/>
  <c r="S26" i="3"/>
  <c r="S32" i="3" s="1"/>
  <c r="S22" i="3"/>
  <c r="S28" i="3" s="1"/>
  <c r="S25" i="3"/>
  <c r="S31" i="3" s="1"/>
  <c r="S23" i="3"/>
  <c r="S29" i="3" s="1"/>
  <c r="S24" i="3"/>
  <c r="S30" i="3" s="1"/>
  <c r="R57" i="9"/>
  <c r="R10" i="4"/>
  <c r="Q16" i="4"/>
  <c r="Q19" i="4"/>
  <c r="Q15" i="4"/>
  <c r="Q20" i="4"/>
  <c r="Q21" i="4"/>
  <c r="Q22" i="4"/>
  <c r="Q18" i="4"/>
  <c r="Q23" i="4"/>
  <c r="Q29" i="4"/>
  <c r="Q26" i="4"/>
  <c r="Q25" i="4"/>
  <c r="Q34" i="4"/>
  <c r="Q27" i="4"/>
  <c r="Q30" i="4"/>
  <c r="Q28" i="4"/>
  <c r="Q33" i="4"/>
  <c r="Q32" i="4"/>
  <c r="Q31" i="4"/>
  <c r="N11" i="22"/>
  <c r="N13" i="4"/>
  <c r="N78" i="9"/>
  <c r="U9" i="3"/>
  <c r="T8" i="3"/>
  <c r="T11" i="3"/>
  <c r="S32" i="9"/>
  <c r="S56" i="9" s="1"/>
  <c r="S9" i="4"/>
  <c r="S9" i="10"/>
  <c r="S9" i="14" s="1"/>
  <c r="S9" i="13"/>
  <c r="S9" i="22"/>
  <c r="P24" i="4"/>
  <c r="P13" i="13" s="1"/>
  <c r="Q64" i="9"/>
  <c r="Q74" i="9"/>
  <c r="Q65" i="9"/>
  <c r="Q75" i="9"/>
  <c r="Q66" i="9"/>
  <c r="Q76" i="9"/>
  <c r="Q67" i="9"/>
  <c r="Q69" i="9"/>
  <c r="Q59" i="9"/>
  <c r="Q72" i="9"/>
  <c r="Q70" i="9"/>
  <c r="Q71" i="9"/>
  <c r="Q60" i="9"/>
  <c r="Q62" i="9"/>
  <c r="Q61" i="9"/>
  <c r="I29" i="13"/>
  <c r="H30" i="13"/>
  <c r="R8" i="13"/>
  <c r="R8" i="4"/>
  <c r="R8" i="22"/>
  <c r="R8" i="10"/>
  <c r="R8" i="14" s="1"/>
  <c r="R31" i="9"/>
  <c r="R55" i="9" s="1"/>
  <c r="G33" i="13"/>
  <c r="G34" i="13" s="1"/>
  <c r="G32" i="13"/>
  <c r="G31" i="13"/>
  <c r="E72" i="1"/>
  <c r="E71" i="1" s="1"/>
  <c r="E76" i="1" s="1"/>
  <c r="B103" i="1" s="1"/>
  <c r="B21" i="13" s="1"/>
  <c r="D71" i="1"/>
  <c r="D76" i="1" s="1"/>
  <c r="P11" i="13"/>
  <c r="P10" i="10"/>
  <c r="Q33" i="3"/>
  <c r="P58" i="9"/>
  <c r="F18" i="14"/>
  <c r="G16" i="14"/>
  <c r="K10" i="22"/>
  <c r="K14" i="13" s="1"/>
  <c r="K15" i="13" s="1"/>
  <c r="K19" i="13" s="1"/>
  <c r="K10" i="14" s="1"/>
  <c r="K11" i="14" s="1"/>
  <c r="K15" i="14" s="1"/>
  <c r="M13" i="22"/>
  <c r="M18" i="10"/>
  <c r="M12" i="22" s="1"/>
  <c r="L13" i="10"/>
  <c r="L17" i="10"/>
  <c r="O77" i="9"/>
  <c r="Y72" i="5"/>
  <c r="X73" i="5"/>
  <c r="S17" i="4"/>
  <c r="AK59" i="5"/>
  <c r="AE60" i="5"/>
  <c r="AD71" i="5"/>
  <c r="Z12" i="4" s="1"/>
  <c r="Z22" i="10" s="1"/>
  <c r="T9" i="27"/>
  <c r="T18" i="27" s="1"/>
  <c r="S8" i="27"/>
  <c r="S17" i="27" s="1"/>
  <c r="S24" i="13"/>
  <c r="R23" i="13"/>
  <c r="T12" i="27"/>
  <c r="T13" i="27"/>
  <c r="AK61" i="5"/>
  <c r="O79" i="9" l="1"/>
  <c r="P83" i="9"/>
  <c r="P80" i="9"/>
  <c r="P84" i="9"/>
  <c r="P82" i="9"/>
  <c r="L19" i="10"/>
  <c r="L23" i="10"/>
  <c r="G18" i="14"/>
  <c r="H16" i="14"/>
  <c r="B33" i="13"/>
  <c r="T22" i="3"/>
  <c r="T28" i="3" s="1"/>
  <c r="T23" i="3"/>
  <c r="T29" i="3" s="1"/>
  <c r="T26" i="3"/>
  <c r="T32" i="3" s="1"/>
  <c r="T25" i="3"/>
  <c r="T31" i="3" s="1"/>
  <c r="T24" i="3"/>
  <c r="T30" i="3" s="1"/>
  <c r="S10" i="4"/>
  <c r="S57" i="9"/>
  <c r="S27" i="3"/>
  <c r="M10" i="22"/>
  <c r="M14" i="13" s="1"/>
  <c r="M15" i="13" s="1"/>
  <c r="M19" i="13" s="1"/>
  <c r="M10" i="14" s="1"/>
  <c r="M11" i="14" s="1"/>
  <c r="M15" i="14" s="1"/>
  <c r="V9" i="3"/>
  <c r="U11" i="3"/>
  <c r="U8" i="3"/>
  <c r="T9" i="10"/>
  <c r="T9" i="14" s="1"/>
  <c r="T9" i="22"/>
  <c r="T32" i="9"/>
  <c r="T56" i="9" s="1"/>
  <c r="T9" i="13"/>
  <c r="T9" i="4"/>
  <c r="R16" i="4"/>
  <c r="R19" i="4"/>
  <c r="R15" i="4"/>
  <c r="R20" i="4"/>
  <c r="R23" i="4"/>
  <c r="R21" i="4"/>
  <c r="R22" i="4"/>
  <c r="R18" i="4"/>
  <c r="R34" i="4"/>
  <c r="R28" i="4"/>
  <c r="R27" i="4"/>
  <c r="R33" i="4"/>
  <c r="R29" i="4"/>
  <c r="R25" i="4"/>
  <c r="R26" i="4"/>
  <c r="R32" i="4"/>
  <c r="R31" i="4"/>
  <c r="R30" i="4"/>
  <c r="G17" i="14"/>
  <c r="H12" i="14"/>
  <c r="K26" i="10"/>
  <c r="R64" i="9"/>
  <c r="R74" i="9"/>
  <c r="R65" i="9"/>
  <c r="R75" i="9"/>
  <c r="R66" i="9"/>
  <c r="R76" i="9"/>
  <c r="R67" i="9"/>
  <c r="R69" i="9"/>
  <c r="R59" i="9"/>
  <c r="R72" i="9"/>
  <c r="R70" i="9"/>
  <c r="R71" i="9"/>
  <c r="R60" i="9"/>
  <c r="R62" i="9"/>
  <c r="R61" i="9"/>
  <c r="P77" i="9"/>
  <c r="P81" i="9"/>
  <c r="Q73" i="9"/>
  <c r="N12" i="13"/>
  <c r="S8" i="13"/>
  <c r="S8" i="4"/>
  <c r="S8" i="22"/>
  <c r="S8" i="10"/>
  <c r="S8" i="14" s="1"/>
  <c r="S31" i="9"/>
  <c r="S55" i="9" s="1"/>
  <c r="N14" i="4"/>
  <c r="N11" i="4" s="1"/>
  <c r="N35" i="4" s="1"/>
  <c r="N11" i="10" s="1"/>
  <c r="H33" i="13"/>
  <c r="H34" i="13" s="1"/>
  <c r="H31" i="13"/>
  <c r="H32" i="13"/>
  <c r="Q58" i="9"/>
  <c r="Q63" i="9"/>
  <c r="Q24" i="4"/>
  <c r="Q13" i="13" s="1"/>
  <c r="R33" i="3"/>
  <c r="Q11" i="13"/>
  <c r="Q10" i="10"/>
  <c r="O11" i="22"/>
  <c r="O78" i="9"/>
  <c r="O13" i="4"/>
  <c r="J29" i="13"/>
  <c r="I30" i="13"/>
  <c r="Q68" i="9"/>
  <c r="M13" i="10"/>
  <c r="M17" i="10"/>
  <c r="Z72" i="5"/>
  <c r="Y73" i="5"/>
  <c r="T17" i="4"/>
  <c r="AL59" i="5"/>
  <c r="AF60" i="5"/>
  <c r="AE71" i="5"/>
  <c r="AA12" i="4" s="1"/>
  <c r="AA22" i="10" s="1"/>
  <c r="S23" i="13"/>
  <c r="T8" i="27"/>
  <c r="T17" i="27" s="1"/>
  <c r="U9" i="27"/>
  <c r="U18" i="27" s="1"/>
  <c r="T24" i="13"/>
  <c r="U13" i="27"/>
  <c r="U12" i="27"/>
  <c r="AL61" i="5"/>
  <c r="Q81" i="9" l="1"/>
  <c r="P79" i="9"/>
  <c r="Q83" i="9"/>
  <c r="Q82" i="9"/>
  <c r="R68" i="9"/>
  <c r="Q80" i="9"/>
  <c r="N12" i="10"/>
  <c r="T8" i="13"/>
  <c r="T8" i="4"/>
  <c r="T31" i="9"/>
  <c r="T55" i="9" s="1"/>
  <c r="T8" i="10"/>
  <c r="T8" i="14" s="1"/>
  <c r="T8" i="22"/>
  <c r="S19" i="4"/>
  <c r="S16" i="4"/>
  <c r="S15" i="4"/>
  <c r="S20" i="4"/>
  <c r="S18" i="4"/>
  <c r="S21" i="4"/>
  <c r="S22" i="4"/>
  <c r="S23" i="4"/>
  <c r="S30" i="4"/>
  <c r="S34" i="4"/>
  <c r="S27" i="4"/>
  <c r="S32" i="4"/>
  <c r="S29" i="4"/>
  <c r="S33" i="4"/>
  <c r="S28" i="4"/>
  <c r="S31" i="4"/>
  <c r="S25" i="4"/>
  <c r="S26" i="4"/>
  <c r="B36" i="13"/>
  <c r="C35" i="13" s="1"/>
  <c r="C36" i="13" s="1"/>
  <c r="D35" i="13" s="1"/>
  <c r="D36" i="13" s="1"/>
  <c r="E35" i="13" s="1"/>
  <c r="E36" i="13" s="1"/>
  <c r="F35" i="13" s="1"/>
  <c r="F36" i="13" s="1"/>
  <c r="G35" i="13" s="1"/>
  <c r="G36" i="13" s="1"/>
  <c r="H35" i="13" s="1"/>
  <c r="H36" i="13" s="1"/>
  <c r="I35" i="13" s="1"/>
  <c r="B34" i="13"/>
  <c r="I33" i="13"/>
  <c r="I34" i="13" s="1"/>
  <c r="I32" i="13"/>
  <c r="I31" i="13"/>
  <c r="R24" i="4"/>
  <c r="R13" i="13" s="1"/>
  <c r="U22" i="3"/>
  <c r="U28" i="3" s="1"/>
  <c r="U23" i="3"/>
  <c r="U29" i="3" s="1"/>
  <c r="U24" i="3"/>
  <c r="U30" i="3" s="1"/>
  <c r="U26" i="3"/>
  <c r="U32" i="3" s="1"/>
  <c r="U25" i="3"/>
  <c r="U31" i="3" s="1"/>
  <c r="T10" i="4"/>
  <c r="T57" i="9"/>
  <c r="K29" i="13"/>
  <c r="J30" i="13"/>
  <c r="N13" i="22"/>
  <c r="N18" i="10"/>
  <c r="N12" i="22" s="1"/>
  <c r="U9" i="4"/>
  <c r="U9" i="10"/>
  <c r="U9" i="14" s="1"/>
  <c r="V11" i="3"/>
  <c r="W9" i="3"/>
  <c r="U9" i="22"/>
  <c r="V8" i="3"/>
  <c r="U9" i="13"/>
  <c r="U32" i="9"/>
  <c r="U56" i="9" s="1"/>
  <c r="I16" i="14"/>
  <c r="H18" i="14"/>
  <c r="I12" i="14"/>
  <c r="H17" i="14"/>
  <c r="Q77" i="9"/>
  <c r="L25" i="10"/>
  <c r="L24" i="10"/>
  <c r="P11" i="22"/>
  <c r="P13" i="4"/>
  <c r="P78" i="9"/>
  <c r="M23" i="10"/>
  <c r="M19" i="10"/>
  <c r="M21" i="10" s="1"/>
  <c r="O14" i="4"/>
  <c r="T27" i="3"/>
  <c r="L21" i="10"/>
  <c r="L20" i="10"/>
  <c r="R73" i="9"/>
  <c r="S33" i="3"/>
  <c r="R10" i="10"/>
  <c r="R11" i="13"/>
  <c r="O12" i="13"/>
  <c r="Q84" i="9"/>
  <c r="R58" i="9"/>
  <c r="R63" i="9"/>
  <c r="S74" i="9"/>
  <c r="S65" i="9"/>
  <c r="S75" i="9"/>
  <c r="S66" i="9"/>
  <c r="S76" i="9"/>
  <c r="S67" i="9"/>
  <c r="S69" i="9"/>
  <c r="S59" i="9"/>
  <c r="S70" i="9"/>
  <c r="S60" i="9"/>
  <c r="S64" i="9"/>
  <c r="S71" i="9"/>
  <c r="S72" i="9"/>
  <c r="S62" i="9"/>
  <c r="S61" i="9"/>
  <c r="Z73" i="5"/>
  <c r="AA72" i="5"/>
  <c r="U17" i="4"/>
  <c r="AM59" i="5"/>
  <c r="AG60" i="5"/>
  <c r="AF71" i="5"/>
  <c r="AB12" i="4" s="1"/>
  <c r="U24" i="13"/>
  <c r="T23" i="13"/>
  <c r="U8" i="27"/>
  <c r="U17" i="27" s="1"/>
  <c r="V9" i="27"/>
  <c r="V18" i="27" s="1"/>
  <c r="V13" i="27"/>
  <c r="V12" i="27"/>
  <c r="AM61" i="5"/>
  <c r="R83" i="9" l="1"/>
  <c r="R80" i="9"/>
  <c r="N10" i="22"/>
  <c r="N14" i="13" s="1"/>
  <c r="N15" i="13" s="1"/>
  <c r="N19" i="13" s="1"/>
  <c r="N10" i="14" s="1"/>
  <c r="N11" i="14" s="1"/>
  <c r="N15" i="14" s="1"/>
  <c r="Q79" i="9"/>
  <c r="R84" i="9"/>
  <c r="S68" i="9"/>
  <c r="R81" i="9"/>
  <c r="S58" i="9"/>
  <c r="O13" i="22"/>
  <c r="O18" i="10"/>
  <c r="O12" i="22" s="1"/>
  <c r="J16" i="14"/>
  <c r="I18" i="14"/>
  <c r="R77" i="9"/>
  <c r="M24" i="10"/>
  <c r="M25" i="10"/>
  <c r="M26" i="10" s="1"/>
  <c r="U8" i="4"/>
  <c r="U8" i="13"/>
  <c r="U8" i="22"/>
  <c r="U8" i="10"/>
  <c r="U8" i="14" s="1"/>
  <c r="U31" i="9"/>
  <c r="U55" i="9" s="1"/>
  <c r="J33" i="13"/>
  <c r="J34" i="13" s="1"/>
  <c r="J31" i="13"/>
  <c r="J32" i="13"/>
  <c r="I36" i="13"/>
  <c r="J35" i="13" s="1"/>
  <c r="L26" i="10"/>
  <c r="M20" i="10"/>
  <c r="K30" i="13"/>
  <c r="L29" i="13"/>
  <c r="U27" i="3"/>
  <c r="S24" i="4"/>
  <c r="S13" i="13" s="1"/>
  <c r="W8" i="3"/>
  <c r="W11" i="3"/>
  <c r="X9" i="3"/>
  <c r="V32" i="9"/>
  <c r="V56" i="9" s="1"/>
  <c r="V9" i="4"/>
  <c r="V9" i="10"/>
  <c r="V9" i="14" s="1"/>
  <c r="V9" i="13"/>
  <c r="V9" i="22"/>
  <c r="S63" i="9"/>
  <c r="P14" i="4"/>
  <c r="P11" i="4" s="1"/>
  <c r="P35" i="4" s="1"/>
  <c r="P11" i="10" s="1"/>
  <c r="P12" i="10" s="1"/>
  <c r="Q13" i="4"/>
  <c r="Q78" i="9"/>
  <c r="Q11" i="22"/>
  <c r="R82" i="9"/>
  <c r="T33" i="3"/>
  <c r="S10" i="10"/>
  <c r="S11" i="13"/>
  <c r="P12" i="13"/>
  <c r="V22" i="3"/>
  <c r="V28" i="3" s="1"/>
  <c r="V23" i="3"/>
  <c r="V29" i="3" s="1"/>
  <c r="V24" i="3"/>
  <c r="V30" i="3" s="1"/>
  <c r="V25" i="3"/>
  <c r="V31" i="3" s="1"/>
  <c r="V26" i="3"/>
  <c r="V32" i="3" s="1"/>
  <c r="U57" i="9"/>
  <c r="U10" i="4"/>
  <c r="T75" i="9"/>
  <c r="T66" i="9"/>
  <c r="T76" i="9"/>
  <c r="T67" i="9"/>
  <c r="T69" i="9"/>
  <c r="T59" i="9"/>
  <c r="T70" i="9"/>
  <c r="T60" i="9"/>
  <c r="T71" i="9"/>
  <c r="T62" i="9"/>
  <c r="T74" i="9"/>
  <c r="T65" i="9"/>
  <c r="T72" i="9"/>
  <c r="T64" i="9"/>
  <c r="T61" i="9"/>
  <c r="S73" i="9"/>
  <c r="O11" i="4"/>
  <c r="O35" i="4" s="1"/>
  <c r="O11" i="10" s="1"/>
  <c r="I17" i="14"/>
  <c r="J12" i="14"/>
  <c r="T19" i="4"/>
  <c r="T15" i="4"/>
  <c r="T16" i="4"/>
  <c r="T18" i="4"/>
  <c r="T20" i="4"/>
  <c r="T23" i="4"/>
  <c r="T21" i="4"/>
  <c r="T22" i="4"/>
  <c r="T28" i="4"/>
  <c r="T31" i="4"/>
  <c r="T26" i="4"/>
  <c r="T29" i="4"/>
  <c r="T30" i="4"/>
  <c r="T27" i="4"/>
  <c r="T32" i="4"/>
  <c r="T25" i="4"/>
  <c r="T34" i="4"/>
  <c r="T33" i="4"/>
  <c r="N13" i="10"/>
  <c r="N17" i="10"/>
  <c r="AA73" i="5"/>
  <c r="AB72" i="5"/>
  <c r="V17" i="4"/>
  <c r="AN59" i="5"/>
  <c r="AB22" i="10"/>
  <c r="AH60" i="5"/>
  <c r="AG71" i="5"/>
  <c r="AC12" i="4" s="1"/>
  <c r="V24" i="13"/>
  <c r="W12" i="27"/>
  <c r="W13" i="27"/>
  <c r="V8" i="27"/>
  <c r="V17" i="27" s="1"/>
  <c r="W9" i="27"/>
  <c r="W18" i="27" s="1"/>
  <c r="U23" i="13"/>
  <c r="AN61" i="5"/>
  <c r="S82" i="9" l="1"/>
  <c r="O10" i="22"/>
  <c r="O14" i="13" s="1"/>
  <c r="O15" i="13" s="1"/>
  <c r="O19" i="13" s="1"/>
  <c r="O10" i="14" s="1"/>
  <c r="O11" i="14" s="1"/>
  <c r="O15" i="14" s="1"/>
  <c r="T73" i="9"/>
  <c r="S84" i="9"/>
  <c r="S80" i="9"/>
  <c r="R79" i="9"/>
  <c r="T24" i="4"/>
  <c r="T13" i="13" s="1"/>
  <c r="J18" i="14"/>
  <c r="K16" i="14"/>
  <c r="T10" i="10"/>
  <c r="T11" i="13"/>
  <c r="U33" i="3"/>
  <c r="O12" i="10"/>
  <c r="V27" i="3"/>
  <c r="P13" i="10"/>
  <c r="P17" i="10"/>
  <c r="M29" i="13"/>
  <c r="L30" i="13"/>
  <c r="J36" i="13"/>
  <c r="K35" i="13" s="1"/>
  <c r="R11" i="22"/>
  <c r="R12" i="13" s="1"/>
  <c r="R13" i="4"/>
  <c r="R78" i="9"/>
  <c r="P13" i="22"/>
  <c r="P18" i="10"/>
  <c r="P12" i="22" s="1"/>
  <c r="X8" i="3"/>
  <c r="Y9" i="3"/>
  <c r="X11" i="3"/>
  <c r="W9" i="4"/>
  <c r="W9" i="10"/>
  <c r="W9" i="14" s="1"/>
  <c r="W9" i="13"/>
  <c r="W32" i="9"/>
  <c r="W56" i="9" s="1"/>
  <c r="W9" i="22"/>
  <c r="K33" i="13"/>
  <c r="K34" i="13" s="1"/>
  <c r="K32" i="13"/>
  <c r="K31" i="13"/>
  <c r="Q14" i="4"/>
  <c r="Q11" i="4" s="1"/>
  <c r="Q35" i="4" s="1"/>
  <c r="Q11" i="10" s="1"/>
  <c r="Q12" i="10" s="1"/>
  <c r="N23" i="10"/>
  <c r="N19" i="10"/>
  <c r="N21" i="10" s="1"/>
  <c r="S77" i="9"/>
  <c r="U15" i="4"/>
  <c r="U16" i="4"/>
  <c r="U19" i="4"/>
  <c r="U20" i="4"/>
  <c r="U21" i="4"/>
  <c r="U22" i="4"/>
  <c r="U23" i="4"/>
  <c r="U18" i="4"/>
  <c r="U32" i="4"/>
  <c r="U27" i="4"/>
  <c r="U31" i="4"/>
  <c r="U33" i="4"/>
  <c r="U25" i="4"/>
  <c r="U28" i="4"/>
  <c r="U29" i="4"/>
  <c r="U30" i="4"/>
  <c r="U26" i="4"/>
  <c r="U34" i="4"/>
  <c r="S81" i="9"/>
  <c r="W23" i="3"/>
  <c r="W29" i="3" s="1"/>
  <c r="W25" i="3"/>
  <c r="W31" i="3" s="1"/>
  <c r="W26" i="3"/>
  <c r="W32" i="3" s="1"/>
  <c r="W22" i="3"/>
  <c r="W28" i="3" s="1"/>
  <c r="W24" i="3"/>
  <c r="W30" i="3" s="1"/>
  <c r="V10" i="4"/>
  <c r="V57" i="9"/>
  <c r="K12" i="14"/>
  <c r="J17" i="14"/>
  <c r="T63" i="9"/>
  <c r="T58" i="9"/>
  <c r="S83" i="9"/>
  <c r="U76" i="9"/>
  <c r="U67" i="9"/>
  <c r="U69" i="9"/>
  <c r="U59" i="9"/>
  <c r="U70" i="9"/>
  <c r="U60" i="9"/>
  <c r="U71" i="9"/>
  <c r="U62" i="9"/>
  <c r="U72" i="9"/>
  <c r="U75" i="9"/>
  <c r="U66" i="9"/>
  <c r="U65" i="9"/>
  <c r="U64" i="9"/>
  <c r="U74" i="9"/>
  <c r="U61" i="9"/>
  <c r="V8" i="4"/>
  <c r="V8" i="13"/>
  <c r="V8" i="10"/>
  <c r="V8" i="14" s="1"/>
  <c r="V31" i="9"/>
  <c r="V55" i="9" s="1"/>
  <c r="V8" i="22"/>
  <c r="T68" i="9"/>
  <c r="Q12" i="13"/>
  <c r="AB73" i="5"/>
  <c r="AC72" i="5"/>
  <c r="W17" i="4"/>
  <c r="AO59" i="5"/>
  <c r="AI60" i="5"/>
  <c r="AH71" i="5"/>
  <c r="AD12" i="4" s="1"/>
  <c r="AC22" i="10"/>
  <c r="W24" i="13"/>
  <c r="X12" i="27"/>
  <c r="X13" i="27"/>
  <c r="V23" i="13"/>
  <c r="X9" i="27"/>
  <c r="X18" i="27" s="1"/>
  <c r="W8" i="27"/>
  <c r="W17" i="27" s="1"/>
  <c r="AO61" i="5"/>
  <c r="T83" i="9" l="1"/>
  <c r="T81" i="9"/>
  <c r="U63" i="9"/>
  <c r="U58" i="9"/>
  <c r="P10" i="22"/>
  <c r="P14" i="13" s="1"/>
  <c r="P15" i="13" s="1"/>
  <c r="P19" i="13" s="1"/>
  <c r="P10" i="14" s="1"/>
  <c r="P11" i="14" s="1"/>
  <c r="P15" i="14" s="1"/>
  <c r="U73" i="9"/>
  <c r="S79" i="9"/>
  <c r="W8" i="4"/>
  <c r="W8" i="13"/>
  <c r="W8" i="22"/>
  <c r="W8" i="10"/>
  <c r="W31" i="9"/>
  <c r="W55" i="9" s="1"/>
  <c r="U68" i="9"/>
  <c r="U24" i="4"/>
  <c r="U13" i="13" s="1"/>
  <c r="O13" i="10"/>
  <c r="O17" i="10"/>
  <c r="N25" i="10"/>
  <c r="N26" i="10" s="1"/>
  <c r="N24" i="10"/>
  <c r="R14" i="4"/>
  <c r="R11" i="4" s="1"/>
  <c r="R35" i="4" s="1"/>
  <c r="R11" i="10" s="1"/>
  <c r="R12" i="10" s="1"/>
  <c r="N20" i="10"/>
  <c r="Q13" i="10"/>
  <c r="Q17" i="10"/>
  <c r="K36" i="13"/>
  <c r="L35" i="13" s="1"/>
  <c r="T84" i="9"/>
  <c r="L16" i="14"/>
  <c r="K18" i="14"/>
  <c r="K17" i="14"/>
  <c r="L12" i="14"/>
  <c r="V70" i="9"/>
  <c r="V60" i="9"/>
  <c r="V72" i="9"/>
  <c r="V64" i="9"/>
  <c r="V76" i="9"/>
  <c r="V67" i="9"/>
  <c r="V69" i="9"/>
  <c r="V71" i="9"/>
  <c r="V65" i="9"/>
  <c r="V66" i="9"/>
  <c r="V59" i="9"/>
  <c r="V75" i="9"/>
  <c r="V74" i="9"/>
  <c r="V62" i="9"/>
  <c r="V61" i="9"/>
  <c r="Q13" i="22"/>
  <c r="Q18" i="10"/>
  <c r="L33" i="13"/>
  <c r="L34" i="13" s="1"/>
  <c r="L31" i="13"/>
  <c r="L32" i="13"/>
  <c r="T82" i="9"/>
  <c r="T80" i="9"/>
  <c r="V15" i="4"/>
  <c r="V16" i="4"/>
  <c r="V19" i="4"/>
  <c r="V18" i="4"/>
  <c r="V20" i="4"/>
  <c r="V23" i="4"/>
  <c r="V21" i="4"/>
  <c r="V22" i="4"/>
  <c r="V27" i="4"/>
  <c r="V32" i="4"/>
  <c r="V30" i="4"/>
  <c r="V25" i="4"/>
  <c r="V26" i="4"/>
  <c r="V33" i="4"/>
  <c r="V31" i="4"/>
  <c r="V28" i="4"/>
  <c r="V29" i="4"/>
  <c r="V34" i="4"/>
  <c r="M30" i="13"/>
  <c r="N29" i="13"/>
  <c r="X24" i="3"/>
  <c r="X30" i="3" s="1"/>
  <c r="X26" i="3"/>
  <c r="X32" i="3" s="1"/>
  <c r="X22" i="3"/>
  <c r="X28" i="3" s="1"/>
  <c r="X23" i="3"/>
  <c r="X29" i="3" s="1"/>
  <c r="X25" i="3"/>
  <c r="X31" i="3" s="1"/>
  <c r="W57" i="9"/>
  <c r="W10" i="4"/>
  <c r="P23" i="10"/>
  <c r="P19" i="10"/>
  <c r="P21" i="10" s="1"/>
  <c r="U10" i="10"/>
  <c r="U11" i="13"/>
  <c r="V33" i="3"/>
  <c r="W27" i="3"/>
  <c r="S13" i="4"/>
  <c r="S11" i="22"/>
  <c r="S12" i="13" s="1"/>
  <c r="S78" i="9"/>
  <c r="Y8" i="3"/>
  <c r="Z9" i="3"/>
  <c r="X9" i="13"/>
  <c r="X9" i="22"/>
  <c r="X32" i="9"/>
  <c r="X56" i="9" s="1"/>
  <c r="Y11" i="3"/>
  <c r="X9" i="10"/>
  <c r="X9" i="14" s="1"/>
  <c r="X9" i="4"/>
  <c r="T77" i="9"/>
  <c r="AC73" i="5"/>
  <c r="AD72" i="5"/>
  <c r="X17" i="4"/>
  <c r="AP59" i="5"/>
  <c r="AD22" i="10"/>
  <c r="AJ60" i="5"/>
  <c r="AI71" i="5"/>
  <c r="AE12" i="4" s="1"/>
  <c r="X24" i="13"/>
  <c r="X8" i="27"/>
  <c r="X17" i="27" s="1"/>
  <c r="Y9" i="27"/>
  <c r="Y18" i="27" s="1"/>
  <c r="Y12" i="27"/>
  <c r="Y13" i="27"/>
  <c r="W23" i="13"/>
  <c r="AP61" i="5"/>
  <c r="U82" i="9" l="1"/>
  <c r="U81" i="9"/>
  <c r="U83" i="9"/>
  <c r="U84" i="9"/>
  <c r="V68" i="9"/>
  <c r="U80" i="9"/>
  <c r="V73" i="9"/>
  <c r="U77" i="9"/>
  <c r="U13" i="4" s="1"/>
  <c r="V24" i="4"/>
  <c r="V13" i="13" s="1"/>
  <c r="R13" i="10"/>
  <c r="R17" i="10"/>
  <c r="W16" i="4"/>
  <c r="W19" i="4"/>
  <c r="W15" i="4"/>
  <c r="W20" i="4"/>
  <c r="W21" i="4"/>
  <c r="W22" i="4"/>
  <c r="W23" i="4"/>
  <c r="W18" i="4"/>
  <c r="W29" i="4"/>
  <c r="W31" i="4"/>
  <c r="W27" i="4"/>
  <c r="W28" i="4"/>
  <c r="W34" i="4"/>
  <c r="W30" i="4"/>
  <c r="W25" i="4"/>
  <c r="W32" i="4"/>
  <c r="W33" i="4"/>
  <c r="W26" i="4"/>
  <c r="N30" i="13"/>
  <c r="T79" i="9"/>
  <c r="M12" i="14"/>
  <c r="L17" i="14"/>
  <c r="O19" i="10"/>
  <c r="O21" i="10" s="1"/>
  <c r="O23" i="10"/>
  <c r="W8" i="14"/>
  <c r="W33" i="3"/>
  <c r="V10" i="10"/>
  <c r="V11" i="13"/>
  <c r="M33" i="13"/>
  <c r="M34" i="13" s="1"/>
  <c r="M31" i="13"/>
  <c r="M32" i="13"/>
  <c r="Q19" i="10"/>
  <c r="Q21" i="10" s="1"/>
  <c r="Q23" i="10"/>
  <c r="X27" i="3"/>
  <c r="V63" i="9"/>
  <c r="W71" i="9"/>
  <c r="W62" i="9"/>
  <c r="W64" i="9"/>
  <c r="W74" i="9"/>
  <c r="W65" i="9"/>
  <c r="W69" i="9"/>
  <c r="W59" i="9"/>
  <c r="W60" i="9"/>
  <c r="W75" i="9"/>
  <c r="W76" i="9"/>
  <c r="W70" i="9"/>
  <c r="W67" i="9"/>
  <c r="W72" i="9"/>
  <c r="W66" i="9"/>
  <c r="W61" i="9"/>
  <c r="V58" i="9"/>
  <c r="L18" i="14"/>
  <c r="M16" i="14"/>
  <c r="R13" i="22"/>
  <c r="R18" i="10"/>
  <c r="R12" i="22" s="1"/>
  <c r="Y25" i="3"/>
  <c r="Y31" i="3" s="1"/>
  <c r="Y23" i="3"/>
  <c r="Y29" i="3" s="1"/>
  <c r="Y22" i="3"/>
  <c r="Y28" i="3" s="1"/>
  <c r="Y24" i="3"/>
  <c r="Y30" i="3" s="1"/>
  <c r="Y26" i="3"/>
  <c r="Y32" i="3" s="1"/>
  <c r="X10" i="4"/>
  <c r="X57" i="9"/>
  <c r="Q12" i="22"/>
  <c r="S14" i="4"/>
  <c r="S11" i="4" s="1"/>
  <c r="S35" i="4" s="1"/>
  <c r="S11" i="10" s="1"/>
  <c r="S12" i="10" s="1"/>
  <c r="Z8" i="3"/>
  <c r="Z11" i="3"/>
  <c r="AA9" i="3"/>
  <c r="Y9" i="4"/>
  <c r="Y32" i="9"/>
  <c r="Y56" i="9" s="1"/>
  <c r="Y9" i="10"/>
  <c r="Y9" i="14" s="1"/>
  <c r="Y9" i="22"/>
  <c r="Y9" i="13"/>
  <c r="T13" i="4"/>
  <c r="T11" i="22"/>
  <c r="T78" i="9"/>
  <c r="X8" i="13"/>
  <c r="X8" i="4"/>
  <c r="X8" i="22"/>
  <c r="X8" i="10"/>
  <c r="X8" i="14" s="1"/>
  <c r="X31" i="9"/>
  <c r="X55" i="9" s="1"/>
  <c r="P25" i="10"/>
  <c r="P26" i="10" s="1"/>
  <c r="P24" i="10"/>
  <c r="L36" i="13"/>
  <c r="M35" i="13" s="1"/>
  <c r="AD73" i="5"/>
  <c r="AE72" i="5"/>
  <c r="Y17" i="4"/>
  <c r="AQ59" i="5"/>
  <c r="AK60" i="5"/>
  <c r="AJ71" i="5"/>
  <c r="AF12" i="4" s="1"/>
  <c r="AE22" i="10"/>
  <c r="X23" i="13"/>
  <c r="Y24" i="13"/>
  <c r="Z12" i="27"/>
  <c r="Z13" i="27"/>
  <c r="Y8" i="27"/>
  <c r="Y17" i="27" s="1"/>
  <c r="Z9" i="27"/>
  <c r="Z18" i="27" s="1"/>
  <c r="AQ61" i="5"/>
  <c r="U79" i="9" l="1"/>
  <c r="V81" i="9"/>
  <c r="U11" i="22"/>
  <c r="U12" i="13" s="1"/>
  <c r="U78" i="9"/>
  <c r="V80" i="9"/>
  <c r="R10" i="22"/>
  <c r="R14" i="13" s="1"/>
  <c r="R15" i="13" s="1"/>
  <c r="R19" i="13" s="1"/>
  <c r="R10" i="14" s="1"/>
  <c r="R11" i="14" s="1"/>
  <c r="R15" i="14" s="1"/>
  <c r="O29" i="13"/>
  <c r="O30" i="13" s="1"/>
  <c r="V83" i="9"/>
  <c r="V77" i="9"/>
  <c r="V11" i="22" s="1"/>
  <c r="V84" i="9"/>
  <c r="O20" i="10"/>
  <c r="P20" i="10" s="1"/>
  <c r="Q20" i="10" s="1"/>
  <c r="M36" i="13"/>
  <c r="N35" i="13" s="1"/>
  <c r="W24" i="4"/>
  <c r="W13" i="13" s="1"/>
  <c r="S13" i="10"/>
  <c r="S17" i="10"/>
  <c r="Y27" i="3"/>
  <c r="W58" i="9"/>
  <c r="Q24" i="10"/>
  <c r="Q25" i="10"/>
  <c r="V82" i="9"/>
  <c r="W68" i="9"/>
  <c r="Q10" i="22"/>
  <c r="Q14" i="13" s="1"/>
  <c r="Q15" i="13" s="1"/>
  <c r="Q19" i="13" s="1"/>
  <c r="Q10" i="14" s="1"/>
  <c r="Q11" i="14" s="1"/>
  <c r="Q15" i="14" s="1"/>
  <c r="N33" i="13"/>
  <c r="N34" i="13" s="1"/>
  <c r="N31" i="13"/>
  <c r="N32" i="13"/>
  <c r="T12" i="13"/>
  <c r="Z26" i="3"/>
  <c r="Z32" i="3" s="1"/>
  <c r="Z24" i="3"/>
  <c r="Z30" i="3" s="1"/>
  <c r="Z23" i="3"/>
  <c r="Z29" i="3" s="1"/>
  <c r="Z25" i="3"/>
  <c r="Z31" i="3" s="1"/>
  <c r="Z22" i="3"/>
  <c r="Z28" i="3" s="1"/>
  <c r="Y10" i="4"/>
  <c r="Y57" i="9"/>
  <c r="X72" i="9"/>
  <c r="X74" i="9"/>
  <c r="X65" i="9"/>
  <c r="X75" i="9"/>
  <c r="X66" i="9"/>
  <c r="X70" i="9"/>
  <c r="X60" i="9"/>
  <c r="X71" i="9"/>
  <c r="X64" i="9"/>
  <c r="X67" i="9"/>
  <c r="X59" i="9"/>
  <c r="X62" i="9"/>
  <c r="X69" i="9"/>
  <c r="X76" i="9"/>
  <c r="X61" i="9"/>
  <c r="W63" i="9"/>
  <c r="W11" i="13"/>
  <c r="X33" i="3"/>
  <c r="W10" i="10"/>
  <c r="AB9" i="3"/>
  <c r="AA8" i="3"/>
  <c r="AA11" i="3"/>
  <c r="Z9" i="4"/>
  <c r="Z9" i="10"/>
  <c r="Z9" i="14" s="1"/>
  <c r="Z9" i="13"/>
  <c r="Z9" i="22"/>
  <c r="Z32" i="9"/>
  <c r="Z56" i="9" s="1"/>
  <c r="W73" i="9"/>
  <c r="O24" i="10"/>
  <c r="O25" i="10"/>
  <c r="O26" i="10" s="1"/>
  <c r="T14" i="4"/>
  <c r="T11" i="4" s="1"/>
  <c r="T35" i="4" s="1"/>
  <c r="T11" i="10" s="1"/>
  <c r="T12" i="10" s="1"/>
  <c r="Y8" i="13"/>
  <c r="Y8" i="4"/>
  <c r="Y8" i="22"/>
  <c r="Y31" i="9"/>
  <c r="Y55" i="9" s="1"/>
  <c r="Y8" i="10"/>
  <c r="Y8" i="14" s="1"/>
  <c r="X15" i="4"/>
  <c r="X19" i="4"/>
  <c r="X16" i="4"/>
  <c r="X18" i="4"/>
  <c r="X20" i="4"/>
  <c r="X23" i="4"/>
  <c r="X21" i="4"/>
  <c r="X22" i="4"/>
  <c r="X28" i="4"/>
  <c r="X32" i="4"/>
  <c r="X27" i="4"/>
  <c r="X30" i="4"/>
  <c r="X26" i="4"/>
  <c r="X34" i="4"/>
  <c r="X33" i="4"/>
  <c r="X29" i="4"/>
  <c r="X31" i="4"/>
  <c r="X25" i="4"/>
  <c r="N16" i="14"/>
  <c r="M18" i="14"/>
  <c r="R23" i="10"/>
  <c r="R19" i="10"/>
  <c r="R21" i="10" s="1"/>
  <c r="S13" i="22"/>
  <c r="S18" i="10"/>
  <c r="U14" i="4"/>
  <c r="U11" i="4" s="1"/>
  <c r="U35" i="4" s="1"/>
  <c r="U11" i="10" s="1"/>
  <c r="U12" i="10" s="1"/>
  <c r="N12" i="14"/>
  <c r="M17" i="14"/>
  <c r="AE73" i="5"/>
  <c r="AF72" i="5"/>
  <c r="Z17" i="4"/>
  <c r="AR59" i="5"/>
  <c r="AF22" i="10"/>
  <c r="AL60" i="5"/>
  <c r="AK71" i="5"/>
  <c r="AG12" i="4" s="1"/>
  <c r="Z24" i="13"/>
  <c r="AA12" i="27"/>
  <c r="AA13" i="27"/>
  <c r="Z8" i="27"/>
  <c r="Z17" i="27" s="1"/>
  <c r="AA9" i="27"/>
  <c r="AA18" i="27" s="1"/>
  <c r="Y23" i="13"/>
  <c r="AR61" i="5"/>
  <c r="Q26" i="10" l="1"/>
  <c r="W81" i="9"/>
  <c r="V78" i="9"/>
  <c r="P29" i="13"/>
  <c r="P30" i="13" s="1"/>
  <c r="V13" i="4"/>
  <c r="V14" i="4" s="1"/>
  <c r="V11" i="4" s="1"/>
  <c r="V35" i="4" s="1"/>
  <c r="V11" i="10" s="1"/>
  <c r="V12" i="10" s="1"/>
  <c r="V79" i="9"/>
  <c r="W80" i="9"/>
  <c r="W82" i="9"/>
  <c r="X58" i="9"/>
  <c r="X73" i="9"/>
  <c r="R20" i="10"/>
  <c r="Z8" i="13"/>
  <c r="Z8" i="4"/>
  <c r="Z8" i="22"/>
  <c r="Z31" i="9"/>
  <c r="Z55" i="9" s="1"/>
  <c r="Z8" i="10"/>
  <c r="Z8" i="14" s="1"/>
  <c r="O33" i="13"/>
  <c r="O34" i="13" s="1"/>
  <c r="O32" i="13"/>
  <c r="O31" i="13"/>
  <c r="Y33" i="3"/>
  <c r="X10" i="10"/>
  <c r="X11" i="13"/>
  <c r="R24" i="10"/>
  <c r="R25" i="10"/>
  <c r="R26" i="10" s="1"/>
  <c r="W77" i="9"/>
  <c r="AC9" i="3"/>
  <c r="AB11" i="3"/>
  <c r="AA9" i="22"/>
  <c r="AB8" i="3"/>
  <c r="AA9" i="13"/>
  <c r="AA32" i="9"/>
  <c r="AA56" i="9" s="1"/>
  <c r="AA9" i="4"/>
  <c r="AA9" i="10"/>
  <c r="AA9" i="14" s="1"/>
  <c r="W83" i="9"/>
  <c r="X63" i="9"/>
  <c r="U13" i="10"/>
  <c r="U17" i="10"/>
  <c r="N17" i="14"/>
  <c r="O12" i="14"/>
  <c r="V12" i="13"/>
  <c r="T13" i="10"/>
  <c r="T17" i="10"/>
  <c r="W84" i="9"/>
  <c r="X68" i="9"/>
  <c r="S23" i="10"/>
  <c r="S19" i="10"/>
  <c r="S21" i="10" s="1"/>
  <c r="Y64" i="9"/>
  <c r="Y75" i="9"/>
  <c r="Y66" i="9"/>
  <c r="Y76" i="9"/>
  <c r="Y67" i="9"/>
  <c r="Y71" i="9"/>
  <c r="Y62" i="9"/>
  <c r="Y60" i="9"/>
  <c r="Y74" i="9"/>
  <c r="Y69" i="9"/>
  <c r="Y70" i="9"/>
  <c r="Y59" i="9"/>
  <c r="Y72" i="9"/>
  <c r="Y65" i="9"/>
  <c r="Y61" i="9"/>
  <c r="Y16" i="4"/>
  <c r="Y15" i="4"/>
  <c r="Y19" i="4"/>
  <c r="Y20" i="4"/>
  <c r="Y21" i="4"/>
  <c r="Y18" i="4"/>
  <c r="Y22" i="4"/>
  <c r="Y23" i="4"/>
  <c r="Y29" i="4"/>
  <c r="Y28" i="4"/>
  <c r="Y27" i="4"/>
  <c r="Y30" i="4"/>
  <c r="Y31" i="4"/>
  <c r="Y33" i="4"/>
  <c r="Y25" i="4"/>
  <c r="Y32" i="4"/>
  <c r="Y34" i="4"/>
  <c r="Y26" i="4"/>
  <c r="U13" i="22"/>
  <c r="U18" i="10"/>
  <c r="U12" i="22" s="1"/>
  <c r="Z27" i="3"/>
  <c r="O16" i="14"/>
  <c r="N18" i="14"/>
  <c r="S12" i="22"/>
  <c r="X24" i="4"/>
  <c r="X13" i="13" s="1"/>
  <c r="T13" i="22"/>
  <c r="T18" i="10"/>
  <c r="T12" i="22" s="1"/>
  <c r="N36" i="13"/>
  <c r="O35" i="13" s="1"/>
  <c r="AA24" i="3"/>
  <c r="AA30" i="3" s="1"/>
  <c r="AA25" i="3"/>
  <c r="AA31" i="3" s="1"/>
  <c r="AA23" i="3"/>
  <c r="AA29" i="3" s="1"/>
  <c r="AA26" i="3"/>
  <c r="AA32" i="3" s="1"/>
  <c r="AA22" i="3"/>
  <c r="AA28" i="3" s="1"/>
  <c r="Z57" i="9"/>
  <c r="Z10" i="4"/>
  <c r="AF73" i="5"/>
  <c r="AB17" i="4" s="1"/>
  <c r="AG72" i="5"/>
  <c r="AA17" i="4"/>
  <c r="AS59" i="5"/>
  <c r="AG22" i="10"/>
  <c r="AM60" i="5"/>
  <c r="AL71" i="5"/>
  <c r="AH12" i="4" s="1"/>
  <c r="Z23" i="13"/>
  <c r="AB13" i="27"/>
  <c r="AB12" i="27"/>
  <c r="AA24" i="13"/>
  <c r="AB9" i="27"/>
  <c r="AB18" i="27" s="1"/>
  <c r="AA8" i="27"/>
  <c r="AA17" i="27" s="1"/>
  <c r="AS61" i="5"/>
  <c r="Y58" i="9" l="1"/>
  <c r="X83" i="9"/>
  <c r="Q29" i="13"/>
  <c r="Q30" i="13" s="1"/>
  <c r="X80" i="9"/>
  <c r="T10" i="22"/>
  <c r="T14" i="13" s="1"/>
  <c r="T15" i="13" s="1"/>
  <c r="T19" i="13" s="1"/>
  <c r="T10" i="14" s="1"/>
  <c r="T11" i="14" s="1"/>
  <c r="T15" i="14" s="1"/>
  <c r="X82" i="9"/>
  <c r="X81" i="9"/>
  <c r="X84" i="9"/>
  <c r="W79" i="9"/>
  <c r="V13" i="10"/>
  <c r="V17" i="10"/>
  <c r="Y24" i="4"/>
  <c r="Y13" i="13" s="1"/>
  <c r="S25" i="10"/>
  <c r="S24" i="10"/>
  <c r="U10" i="22"/>
  <c r="U14" i="13" s="1"/>
  <c r="U15" i="13" s="1"/>
  <c r="U19" i="13" s="1"/>
  <c r="U10" i="14" s="1"/>
  <c r="U11" i="14" s="1"/>
  <c r="U15" i="14" s="1"/>
  <c r="U19" i="10"/>
  <c r="U21" i="10" s="1"/>
  <c r="U23" i="10"/>
  <c r="AA8" i="13"/>
  <c r="AA8" i="4"/>
  <c r="AA8" i="10"/>
  <c r="AA8" i="14" s="1"/>
  <c r="AA8" i="22"/>
  <c r="AA31" i="9"/>
  <c r="AA55" i="9" s="1"/>
  <c r="AB23" i="3"/>
  <c r="AB29" i="3" s="1"/>
  <c r="AB22" i="3"/>
  <c r="AB28" i="3" s="1"/>
  <c r="AB26" i="3"/>
  <c r="AB32" i="3" s="1"/>
  <c r="AB24" i="3"/>
  <c r="AB30" i="3" s="1"/>
  <c r="AB25" i="3"/>
  <c r="AB31" i="3" s="1"/>
  <c r="AA10" i="4"/>
  <c r="AA57" i="9"/>
  <c r="AD9" i="3"/>
  <c r="AC11" i="3"/>
  <c r="AC8" i="3"/>
  <c r="AB32" i="9"/>
  <c r="AB56" i="9" s="1"/>
  <c r="AB9" i="4"/>
  <c r="AB9" i="10"/>
  <c r="AB9" i="14" s="1"/>
  <c r="AB9" i="22"/>
  <c r="AB9" i="13"/>
  <c r="X77" i="9"/>
  <c r="T19" i="10"/>
  <c r="T21" i="10" s="1"/>
  <c r="T23" i="10"/>
  <c r="AA27" i="3"/>
  <c r="O36" i="13"/>
  <c r="P35" i="13" s="1"/>
  <c r="Y68" i="9"/>
  <c r="W11" i="22"/>
  <c r="W12" i="13" s="1"/>
  <c r="W13" i="4"/>
  <c r="W78" i="9"/>
  <c r="Z19" i="4"/>
  <c r="Z15" i="4"/>
  <c r="Z16" i="4"/>
  <c r="Z23" i="4"/>
  <c r="Z21" i="4"/>
  <c r="Z18" i="4"/>
  <c r="Z20" i="4"/>
  <c r="Z22" i="4"/>
  <c r="Z31" i="4"/>
  <c r="Z30" i="4"/>
  <c r="Z28" i="4"/>
  <c r="Z33" i="4"/>
  <c r="Z27" i="4"/>
  <c r="Z25" i="4"/>
  <c r="Z26" i="4"/>
  <c r="Z29" i="4"/>
  <c r="Z32" i="4"/>
  <c r="Z34" i="4"/>
  <c r="Z69" i="9"/>
  <c r="Z59" i="9"/>
  <c r="Z71" i="9"/>
  <c r="Z61" i="9"/>
  <c r="Z72" i="9"/>
  <c r="Z62" i="9"/>
  <c r="Z75" i="9"/>
  <c r="Z66" i="9"/>
  <c r="Z74" i="9"/>
  <c r="Z76" i="9"/>
  <c r="Z70" i="9"/>
  <c r="Z64" i="9"/>
  <c r="Z60" i="9"/>
  <c r="Z65" i="9"/>
  <c r="Z67" i="9"/>
  <c r="S10" i="22"/>
  <c r="S14" i="13" s="1"/>
  <c r="S15" i="13" s="1"/>
  <c r="S19" i="13" s="1"/>
  <c r="S10" i="14" s="1"/>
  <c r="S11" i="14" s="1"/>
  <c r="S15" i="14" s="1"/>
  <c r="Y73" i="9"/>
  <c r="Y63" i="9"/>
  <c r="S20" i="10"/>
  <c r="V13" i="22"/>
  <c r="V18" i="10"/>
  <c r="P16" i="14"/>
  <c r="O18" i="14"/>
  <c r="O17" i="14"/>
  <c r="P12" i="14"/>
  <c r="P33" i="13"/>
  <c r="P34" i="13" s="1"/>
  <c r="P32" i="13"/>
  <c r="P31" i="13"/>
  <c r="Z33" i="3"/>
  <c r="Y11" i="13"/>
  <c r="Y10" i="10"/>
  <c r="AG73" i="5"/>
  <c r="AC17" i="4" s="1"/>
  <c r="AH72" i="5"/>
  <c r="AT59" i="5"/>
  <c r="AN60" i="5"/>
  <c r="AM71" i="5"/>
  <c r="AI12" i="4" s="1"/>
  <c r="AH22" i="10"/>
  <c r="AA23" i="13"/>
  <c r="AC12" i="27"/>
  <c r="AC13" i="27"/>
  <c r="AB24" i="13"/>
  <c r="AB8" i="27"/>
  <c r="AB17" i="27" s="1"/>
  <c r="AC9" i="27"/>
  <c r="AC18" i="27" s="1"/>
  <c r="AT61" i="5"/>
  <c r="S26" i="10" l="1"/>
  <c r="R29" i="13"/>
  <c r="S29" i="13" s="1"/>
  <c r="X79" i="9"/>
  <c r="Y77" i="9"/>
  <c r="Y11" i="22" s="1"/>
  <c r="Y12" i="13" s="1"/>
  <c r="Z73" i="9"/>
  <c r="Y80" i="9"/>
  <c r="Y81" i="9"/>
  <c r="T20" i="10"/>
  <c r="U20" i="10" s="1"/>
  <c r="Y83" i="9"/>
  <c r="Z68" i="9"/>
  <c r="W14" i="4"/>
  <c r="W11" i="4" s="1"/>
  <c r="W35" i="4" s="1"/>
  <c r="W11" i="10" s="1"/>
  <c r="W12" i="10" s="1"/>
  <c r="AC24" i="3"/>
  <c r="AC30" i="3" s="1"/>
  <c r="AC22" i="3"/>
  <c r="AC28" i="3" s="1"/>
  <c r="AC26" i="3"/>
  <c r="AC32" i="3" s="1"/>
  <c r="AC25" i="3"/>
  <c r="AC31" i="3" s="1"/>
  <c r="AC23" i="3"/>
  <c r="AC29" i="3" s="1"/>
  <c r="AB57" i="9"/>
  <c r="AB10" i="4"/>
  <c r="V12" i="22"/>
  <c r="X13" i="4"/>
  <c r="X11" i="22"/>
  <c r="X78" i="9"/>
  <c r="AD8" i="3"/>
  <c r="AE9" i="3"/>
  <c r="AD11" i="3"/>
  <c r="AC9" i="4"/>
  <c r="AC9" i="10"/>
  <c r="AC9" i="14" s="1"/>
  <c r="AC9" i="13"/>
  <c r="AC32" i="9"/>
  <c r="AC56" i="9" s="1"/>
  <c r="AC9" i="22"/>
  <c r="Y84" i="9"/>
  <c r="Y82" i="9"/>
  <c r="AA72" i="9"/>
  <c r="AA74" i="9"/>
  <c r="AA65" i="9"/>
  <c r="AA75" i="9"/>
  <c r="AA66" i="9"/>
  <c r="AA70" i="9"/>
  <c r="AA60" i="9"/>
  <c r="AA76" i="9"/>
  <c r="AA69" i="9"/>
  <c r="AA71" i="9"/>
  <c r="AA64" i="9"/>
  <c r="AA67" i="9"/>
  <c r="AA59" i="9"/>
  <c r="AA62" i="9"/>
  <c r="AA61" i="9"/>
  <c r="AA19" i="4"/>
  <c r="AA16" i="4"/>
  <c r="AA15" i="4"/>
  <c r="AA18" i="4"/>
  <c r="AA20" i="4"/>
  <c r="AA21" i="4"/>
  <c r="AA23" i="4"/>
  <c r="AA22" i="4"/>
  <c r="AA30" i="4"/>
  <c r="AA34" i="4"/>
  <c r="AA29" i="4"/>
  <c r="AA26" i="4"/>
  <c r="AA33" i="4"/>
  <c r="AA28" i="4"/>
  <c r="AA31" i="4"/>
  <c r="AA25" i="4"/>
  <c r="AA32" i="4"/>
  <c r="AA27" i="4"/>
  <c r="P17" i="14"/>
  <c r="Q12" i="14"/>
  <c r="Z63" i="9"/>
  <c r="Z24" i="4"/>
  <c r="Z13" i="13" s="1"/>
  <c r="Q33" i="13"/>
  <c r="Q34" i="13" s="1"/>
  <c r="Q32" i="13"/>
  <c r="Q31" i="13"/>
  <c r="P36" i="13"/>
  <c r="Q35" i="13" s="1"/>
  <c r="V23" i="10"/>
  <c r="V19" i="10"/>
  <c r="V21" i="10" s="1"/>
  <c r="Z10" i="10"/>
  <c r="AA33" i="3"/>
  <c r="Z11" i="13"/>
  <c r="P18" i="14"/>
  <c r="Q16" i="14"/>
  <c r="Z58" i="9"/>
  <c r="T24" i="10"/>
  <c r="T25" i="10"/>
  <c r="T26" i="10" s="1"/>
  <c r="AB8" i="13"/>
  <c r="AB8" i="4"/>
  <c r="AB8" i="22"/>
  <c r="AB31" i="9"/>
  <c r="AB55" i="9" s="1"/>
  <c r="AB8" i="10"/>
  <c r="AB8" i="14" s="1"/>
  <c r="AB27" i="3"/>
  <c r="U24" i="10"/>
  <c r="U25" i="10"/>
  <c r="U26" i="10" s="1"/>
  <c r="AH73" i="5"/>
  <c r="AD17" i="4" s="1"/>
  <c r="AI72" i="5"/>
  <c r="AU59" i="5"/>
  <c r="AI22" i="10"/>
  <c r="AO60" i="5"/>
  <c r="AN71" i="5"/>
  <c r="AJ12" i="4" s="1"/>
  <c r="AB23" i="13"/>
  <c r="AC24" i="13"/>
  <c r="AD13" i="27"/>
  <c r="AD12" i="27"/>
  <c r="AC8" i="27"/>
  <c r="AC17" i="27" s="1"/>
  <c r="AD9" i="27"/>
  <c r="AD18" i="27" s="1"/>
  <c r="AU61" i="5"/>
  <c r="Y78" i="9" l="1"/>
  <c r="Z80" i="9"/>
  <c r="Y13" i="4"/>
  <c r="Y14" i="4" s="1"/>
  <c r="R30" i="13"/>
  <c r="R33" i="13" s="1"/>
  <c r="R34" i="13" s="1"/>
  <c r="AA63" i="9"/>
  <c r="Z77" i="9"/>
  <c r="Z78" i="9" s="1"/>
  <c r="Y79" i="9"/>
  <c r="Z81" i="9"/>
  <c r="AA58" i="9"/>
  <c r="AC27" i="3"/>
  <c r="R16" i="14"/>
  <c r="Q18" i="14"/>
  <c r="AC8" i="4"/>
  <c r="AC8" i="13"/>
  <c r="AC8" i="22"/>
  <c r="AC31" i="9"/>
  <c r="AC55" i="9" s="1"/>
  <c r="AC8" i="10"/>
  <c r="AC8" i="14" s="1"/>
  <c r="S30" i="13"/>
  <c r="T29" i="13"/>
  <c r="X12" i="13"/>
  <c r="Z83" i="9"/>
  <c r="V10" i="22"/>
  <c r="V14" i="13" s="1"/>
  <c r="V15" i="13" s="1"/>
  <c r="V19" i="13" s="1"/>
  <c r="V10" i="14" s="1"/>
  <c r="V11" i="14" s="1"/>
  <c r="V15" i="14" s="1"/>
  <c r="X14" i="4"/>
  <c r="X11" i="4" s="1"/>
  <c r="X35" i="4" s="1"/>
  <c r="X11" i="10" s="1"/>
  <c r="X12" i="10" s="1"/>
  <c r="W13" i="10"/>
  <c r="W17" i="10"/>
  <c r="Z82" i="9"/>
  <c r="V25" i="10"/>
  <c r="V26" i="10" s="1"/>
  <c r="V24" i="10"/>
  <c r="AA73" i="9"/>
  <c r="AB16" i="4"/>
  <c r="AB15" i="4"/>
  <c r="AB19" i="4"/>
  <c r="AB21" i="4"/>
  <c r="AB22" i="4"/>
  <c r="AB23" i="4"/>
  <c r="AB18" i="4"/>
  <c r="AB20" i="4"/>
  <c r="AB27" i="4"/>
  <c r="AB26" i="4"/>
  <c r="AB29" i="4"/>
  <c r="AB31" i="4"/>
  <c r="AB30" i="4"/>
  <c r="AB32" i="4"/>
  <c r="AB25" i="4"/>
  <c r="AB33" i="4"/>
  <c r="AB28" i="4"/>
  <c r="AB34" i="4"/>
  <c r="W13" i="22"/>
  <c r="W18" i="10"/>
  <c r="AE8" i="3"/>
  <c r="AE11" i="3"/>
  <c r="AF9" i="3"/>
  <c r="AD9" i="13"/>
  <c r="AD32" i="9"/>
  <c r="AD56" i="9" s="1"/>
  <c r="AD9" i="4"/>
  <c r="AD9" i="10"/>
  <c r="AD9" i="14" s="1"/>
  <c r="AD9" i="22"/>
  <c r="Z84" i="9"/>
  <c r="Q36" i="13"/>
  <c r="R35" i="13" s="1"/>
  <c r="V20" i="10"/>
  <c r="AA68" i="9"/>
  <c r="AB69" i="9"/>
  <c r="AB59" i="9"/>
  <c r="AB70" i="9"/>
  <c r="AB60" i="9"/>
  <c r="AB64" i="9"/>
  <c r="AB67" i="9"/>
  <c r="AB74" i="9"/>
  <c r="AB62" i="9"/>
  <c r="AB75" i="9"/>
  <c r="AB76" i="9"/>
  <c r="AB71" i="9"/>
  <c r="AB66" i="9"/>
  <c r="AB72" i="9"/>
  <c r="AB65" i="9"/>
  <c r="AB61" i="9"/>
  <c r="AA11" i="13"/>
  <c r="AA10" i="10"/>
  <c r="AB33" i="3"/>
  <c r="R12" i="14"/>
  <c r="Q17" i="14"/>
  <c r="AA24" i="4"/>
  <c r="AA13" i="13" s="1"/>
  <c r="AD22" i="3"/>
  <c r="AD28" i="3" s="1"/>
  <c r="AD26" i="3"/>
  <c r="AD32" i="3" s="1"/>
  <c r="AD24" i="3"/>
  <c r="AD30" i="3" s="1"/>
  <c r="AD25" i="3"/>
  <c r="AD31" i="3" s="1"/>
  <c r="AD23" i="3"/>
  <c r="AD29" i="3" s="1"/>
  <c r="AC10" i="4"/>
  <c r="AC57" i="9"/>
  <c r="AI73" i="5"/>
  <c r="AE17" i="4" s="1"/>
  <c r="AJ72" i="5"/>
  <c r="AV59" i="5"/>
  <c r="AP60" i="5"/>
  <c r="AO71" i="5"/>
  <c r="AK12" i="4" s="1"/>
  <c r="AJ22" i="10"/>
  <c r="AE12" i="27"/>
  <c r="AE13" i="27"/>
  <c r="AD24" i="13"/>
  <c r="AC23" i="13"/>
  <c r="AD8" i="27"/>
  <c r="AD17" i="27" s="1"/>
  <c r="AE9" i="27"/>
  <c r="AE18" i="27" s="1"/>
  <c r="AV61" i="5"/>
  <c r="Z13" i="4" l="1"/>
  <c r="Z14" i="4" s="1"/>
  <c r="Z11" i="4" s="1"/>
  <c r="Z35" i="4" s="1"/>
  <c r="Z11" i="10" s="1"/>
  <c r="Z12" i="10" s="1"/>
  <c r="R31" i="13"/>
  <c r="Z11" i="22"/>
  <c r="Z12" i="13" s="1"/>
  <c r="R32" i="13"/>
  <c r="AA81" i="9"/>
  <c r="AA83" i="9"/>
  <c r="R36" i="13"/>
  <c r="S35" i="13" s="1"/>
  <c r="AA84" i="9"/>
  <c r="AA80" i="9"/>
  <c r="AA82" i="9"/>
  <c r="AB58" i="9"/>
  <c r="AB68" i="9"/>
  <c r="X13" i="22"/>
  <c r="X18" i="10"/>
  <c r="X12" i="22" s="1"/>
  <c r="Y13" i="22"/>
  <c r="Y18" i="10"/>
  <c r="Y12" i="22" s="1"/>
  <c r="AB73" i="9"/>
  <c r="AA77" i="9"/>
  <c r="AF11" i="3"/>
  <c r="AF8" i="3"/>
  <c r="AE9" i="13"/>
  <c r="AE9" i="22"/>
  <c r="AG9" i="3"/>
  <c r="AE9" i="4"/>
  <c r="AE32" i="9"/>
  <c r="AE56" i="9" s="1"/>
  <c r="AE9" i="10"/>
  <c r="AE9" i="14" s="1"/>
  <c r="AB24" i="4"/>
  <c r="AB13" i="13" s="1"/>
  <c r="AB63" i="9"/>
  <c r="AE23" i="3"/>
  <c r="AE29" i="3" s="1"/>
  <c r="AE25" i="3"/>
  <c r="AE31" i="3" s="1"/>
  <c r="AE22" i="3"/>
  <c r="AE28" i="3" s="1"/>
  <c r="AE24" i="3"/>
  <c r="AE30" i="3" s="1"/>
  <c r="AE26" i="3"/>
  <c r="AE32" i="3" s="1"/>
  <c r="AD10" i="4"/>
  <c r="AD57" i="9"/>
  <c r="T30" i="13"/>
  <c r="U29" i="13"/>
  <c r="X13" i="10"/>
  <c r="X17" i="10"/>
  <c r="AC64" i="9"/>
  <c r="AC74" i="9"/>
  <c r="AC65" i="9"/>
  <c r="AC69" i="9"/>
  <c r="AC59" i="9"/>
  <c r="AC66" i="9"/>
  <c r="AC67" i="9"/>
  <c r="AC60" i="9"/>
  <c r="AC75" i="9"/>
  <c r="AC61" i="9"/>
  <c r="AC76" i="9"/>
  <c r="AC62" i="9"/>
  <c r="AC72" i="9"/>
  <c r="AC70" i="9"/>
  <c r="AC71" i="9"/>
  <c r="AD8" i="4"/>
  <c r="AD31" i="9"/>
  <c r="AD55" i="9" s="1"/>
  <c r="AD8" i="13"/>
  <c r="AD8" i="22"/>
  <c r="AD8" i="10"/>
  <c r="AD8" i="14" s="1"/>
  <c r="S33" i="13"/>
  <c r="S34" i="13" s="1"/>
  <c r="S32" i="13"/>
  <c r="S31" i="13"/>
  <c r="R18" i="14"/>
  <c r="S16" i="14"/>
  <c r="Z79" i="9"/>
  <c r="AD27" i="3"/>
  <c r="AC15" i="4"/>
  <c r="AC16" i="4"/>
  <c r="AC19" i="4"/>
  <c r="AC18" i="4"/>
  <c r="AC22" i="4"/>
  <c r="AC20" i="4"/>
  <c r="AC21" i="4"/>
  <c r="AC23" i="4"/>
  <c r="AC31" i="4"/>
  <c r="AC28" i="4"/>
  <c r="AC33" i="4"/>
  <c r="AC29" i="4"/>
  <c r="AC26" i="4"/>
  <c r="AC30" i="4"/>
  <c r="AC25" i="4"/>
  <c r="AC32" i="4"/>
  <c r="AC27" i="4"/>
  <c r="AC34" i="4"/>
  <c r="R17" i="14"/>
  <c r="S12" i="14"/>
  <c r="W12" i="22"/>
  <c r="W23" i="10"/>
  <c r="W19" i="10"/>
  <c r="W21" i="10" s="1"/>
  <c r="AC33" i="3"/>
  <c r="AB10" i="10"/>
  <c r="AB11" i="13"/>
  <c r="Y11" i="4"/>
  <c r="Y35" i="4" s="1"/>
  <c r="Y11" i="10" s="1"/>
  <c r="Y12" i="10" s="1"/>
  <c r="AJ73" i="5"/>
  <c r="AF17" i="4" s="1"/>
  <c r="AK72" i="5"/>
  <c r="AW59" i="5"/>
  <c r="AK22" i="10"/>
  <c r="AQ60" i="5"/>
  <c r="AP71" i="5"/>
  <c r="AL12" i="4" s="1"/>
  <c r="AD23" i="13"/>
  <c r="AE24" i="13"/>
  <c r="AF9" i="27"/>
  <c r="AF18" i="27" s="1"/>
  <c r="AE8" i="27"/>
  <c r="AE17" i="27" s="1"/>
  <c r="AF12" i="27"/>
  <c r="AF13" i="27"/>
  <c r="AW61" i="5"/>
  <c r="AB82" i="9" l="1"/>
  <c r="AB83" i="9"/>
  <c r="AB84" i="9"/>
  <c r="AA79" i="9"/>
  <c r="AB81" i="9"/>
  <c r="AC58" i="9"/>
  <c r="AB80" i="9"/>
  <c r="AC63" i="9"/>
  <c r="Y10" i="22"/>
  <c r="Y14" i="13" s="1"/>
  <c r="Y15" i="13" s="1"/>
  <c r="Y19" i="13" s="1"/>
  <c r="Y10" i="14" s="1"/>
  <c r="Y11" i="14" s="1"/>
  <c r="Y15" i="14" s="1"/>
  <c r="W25" i="10"/>
  <c r="W24" i="10"/>
  <c r="Y13" i="10"/>
  <c r="Y17" i="10"/>
  <c r="S36" i="13"/>
  <c r="T35" i="13" s="1"/>
  <c r="X10" i="22"/>
  <c r="X14" i="13" s="1"/>
  <c r="V29" i="13"/>
  <c r="U30" i="13"/>
  <c r="AC11" i="13"/>
  <c r="AC10" i="10"/>
  <c r="AD33" i="3"/>
  <c r="T33" i="13"/>
  <c r="T34" i="13" s="1"/>
  <c r="T31" i="13"/>
  <c r="T32" i="13"/>
  <c r="AC24" i="4"/>
  <c r="AC13" i="13" s="1"/>
  <c r="Z13" i="10"/>
  <c r="Z17" i="10"/>
  <c r="AC68" i="9"/>
  <c r="AD76" i="9"/>
  <c r="AD67" i="9"/>
  <c r="AD70" i="9"/>
  <c r="AD60" i="9"/>
  <c r="AD71" i="9"/>
  <c r="AD62" i="9"/>
  <c r="AD74" i="9"/>
  <c r="AD65" i="9"/>
  <c r="AD64" i="9"/>
  <c r="AD66" i="9"/>
  <c r="AD59" i="9"/>
  <c r="AD75" i="9"/>
  <c r="AD72" i="9"/>
  <c r="AD69" i="9"/>
  <c r="AD61" i="9"/>
  <c r="AG8" i="3"/>
  <c r="AH9" i="3"/>
  <c r="AF9" i="4"/>
  <c r="AF9" i="10"/>
  <c r="AF9" i="14" s="1"/>
  <c r="AF32" i="9"/>
  <c r="AF56" i="9" s="1"/>
  <c r="AF9" i="22"/>
  <c r="AG11" i="3"/>
  <c r="AF9" i="13"/>
  <c r="AA13" i="4"/>
  <c r="AA78" i="9"/>
  <c r="AA11" i="22"/>
  <c r="W10" i="22"/>
  <c r="W14" i="13" s="1"/>
  <c r="W15" i="13" s="1"/>
  <c r="W19" i="13" s="1"/>
  <c r="W10" i="14" s="1"/>
  <c r="W11" i="14" s="1"/>
  <c r="W15" i="14" s="1"/>
  <c r="Z13" i="22"/>
  <c r="Z18" i="10"/>
  <c r="AD19" i="4"/>
  <c r="AD15" i="4"/>
  <c r="AD16" i="4"/>
  <c r="AD18" i="4"/>
  <c r="AD20" i="4"/>
  <c r="AD21" i="4"/>
  <c r="AD22" i="4"/>
  <c r="AD23" i="4"/>
  <c r="AD28" i="4"/>
  <c r="AD30" i="4"/>
  <c r="AD31" i="4"/>
  <c r="AD25" i="4"/>
  <c r="AD29" i="4"/>
  <c r="AD33" i="4"/>
  <c r="AD26" i="4"/>
  <c r="AD34" i="4"/>
  <c r="AD27" i="4"/>
  <c r="AD32" i="4"/>
  <c r="W20" i="10"/>
  <c r="AC73" i="9"/>
  <c r="AB77" i="9"/>
  <c r="T16" i="14"/>
  <c r="S18" i="14"/>
  <c r="AE8" i="4"/>
  <c r="AE8" i="13"/>
  <c r="AE31" i="9"/>
  <c r="AE55" i="9" s="1"/>
  <c r="AE8" i="10"/>
  <c r="AE8" i="14" s="1"/>
  <c r="AE8" i="22"/>
  <c r="S17" i="14"/>
  <c r="T12" i="14"/>
  <c r="X19" i="10"/>
  <c r="X21" i="10" s="1"/>
  <c r="X23" i="10"/>
  <c r="AE27" i="3"/>
  <c r="AF25" i="3"/>
  <c r="AF31" i="3" s="1"/>
  <c r="AF22" i="3"/>
  <c r="AF28" i="3" s="1"/>
  <c r="AF26" i="3"/>
  <c r="AF32" i="3" s="1"/>
  <c r="AF24" i="3"/>
  <c r="AF30" i="3" s="1"/>
  <c r="AF23" i="3"/>
  <c r="AF29" i="3" s="1"/>
  <c r="AE10" i="4"/>
  <c r="AE57" i="9"/>
  <c r="AK73" i="5"/>
  <c r="AG17" i="4" s="1"/>
  <c r="AL72" i="5"/>
  <c r="AX59" i="5"/>
  <c r="AR60" i="5"/>
  <c r="AQ71" i="5"/>
  <c r="AM12" i="4" s="1"/>
  <c r="AL22" i="10"/>
  <c r="AE23" i="13"/>
  <c r="AG12" i="27"/>
  <c r="AG13" i="27"/>
  <c r="AF24" i="13"/>
  <c r="AF8" i="27"/>
  <c r="AF17" i="27" s="1"/>
  <c r="AG9" i="27"/>
  <c r="AG18" i="27" s="1"/>
  <c r="AX61" i="5"/>
  <c r="AB79" i="9" l="1"/>
  <c r="AD58" i="9"/>
  <c r="AC77" i="9"/>
  <c r="AC78" i="9" s="1"/>
  <c r="T36" i="13"/>
  <c r="U35" i="13" s="1"/>
  <c r="AC81" i="9"/>
  <c r="AF27" i="3"/>
  <c r="AF33" i="3" s="1"/>
  <c r="AE33" i="3"/>
  <c r="AD10" i="10"/>
  <c r="AD11" i="13"/>
  <c r="AB13" i="4"/>
  <c r="AB78" i="9"/>
  <c r="AB11" i="22"/>
  <c r="AC80" i="9"/>
  <c r="X15" i="13"/>
  <c r="X19" i="13" s="1"/>
  <c r="X10" i="14" s="1"/>
  <c r="X11" i="14" s="1"/>
  <c r="X15" i="14" s="1"/>
  <c r="Y19" i="10"/>
  <c r="Y21" i="10" s="1"/>
  <c r="Y23" i="10"/>
  <c r="AE71" i="9"/>
  <c r="AE62" i="9"/>
  <c r="AE64" i="9"/>
  <c r="AE74" i="9"/>
  <c r="AE65" i="9"/>
  <c r="AE69" i="9"/>
  <c r="AE59" i="9"/>
  <c r="AE66" i="9"/>
  <c r="AE67" i="9"/>
  <c r="AE60" i="9"/>
  <c r="AE75" i="9"/>
  <c r="AE76" i="9"/>
  <c r="AE72" i="9"/>
  <c r="AE70" i="9"/>
  <c r="AE61" i="9"/>
  <c r="AD24" i="4"/>
  <c r="AD13" i="13" s="1"/>
  <c r="AA12" i="13"/>
  <c r="T17" i="14"/>
  <c r="U12" i="14"/>
  <c r="AH8" i="3"/>
  <c r="AI9" i="3"/>
  <c r="AH11" i="3"/>
  <c r="AG9" i="10"/>
  <c r="AG9" i="14" s="1"/>
  <c r="AG9" i="13"/>
  <c r="AG32" i="9"/>
  <c r="AG56" i="9" s="1"/>
  <c r="AG9" i="22"/>
  <c r="AG9" i="4"/>
  <c r="AD63" i="9"/>
  <c r="AC83" i="9"/>
  <c r="X20" i="10"/>
  <c r="AA14" i="4"/>
  <c r="AA11" i="4" s="1"/>
  <c r="AA35" i="4" s="1"/>
  <c r="AA11" i="10" s="1"/>
  <c r="AA12" i="10" s="1"/>
  <c r="AF8" i="13"/>
  <c r="AF8" i="22"/>
  <c r="AF8" i="4"/>
  <c r="AF8" i="10"/>
  <c r="AF8" i="14" s="1"/>
  <c r="AF31" i="9"/>
  <c r="AF55" i="9" s="1"/>
  <c r="U33" i="13"/>
  <c r="U34" i="13" s="1"/>
  <c r="U31" i="13"/>
  <c r="U32" i="13"/>
  <c r="U16" i="14"/>
  <c r="T18" i="14"/>
  <c r="AD73" i="9"/>
  <c r="Z23" i="10"/>
  <c r="Z19" i="10"/>
  <c r="Z21" i="10" s="1"/>
  <c r="AC84" i="9"/>
  <c r="W29" i="13"/>
  <c r="V30" i="13"/>
  <c r="X25" i="10"/>
  <c r="X26" i="10" s="1"/>
  <c r="X24" i="10"/>
  <c r="Z12" i="22"/>
  <c r="AG23" i="3"/>
  <c r="AG29" i="3" s="1"/>
  <c r="AG24" i="3"/>
  <c r="AG30" i="3" s="1"/>
  <c r="AG22" i="3"/>
  <c r="AG28" i="3" s="1"/>
  <c r="AG26" i="3"/>
  <c r="AG32" i="3" s="1"/>
  <c r="AG25" i="3"/>
  <c r="AG31" i="3" s="1"/>
  <c r="AF10" i="4"/>
  <c r="AF57" i="9"/>
  <c r="AD68" i="9"/>
  <c r="W26" i="10"/>
  <c r="AE16" i="4"/>
  <c r="AE19" i="4"/>
  <c r="AE15" i="4"/>
  <c r="AE22" i="4"/>
  <c r="AE23" i="4"/>
  <c r="AE20" i="4"/>
  <c r="AE21" i="4"/>
  <c r="AE18" i="4"/>
  <c r="AE31" i="4"/>
  <c r="AE34" i="4"/>
  <c r="AE30" i="4"/>
  <c r="AE32" i="4"/>
  <c r="AE33" i="4"/>
  <c r="AE29" i="4"/>
  <c r="AE27" i="4"/>
  <c r="AE25" i="4"/>
  <c r="AE26" i="4"/>
  <c r="AE28" i="4"/>
  <c r="AE11" i="13"/>
  <c r="AE10" i="10"/>
  <c r="AC82" i="9"/>
  <c r="AL73" i="5"/>
  <c r="AH17" i="4" s="1"/>
  <c r="AM72" i="5"/>
  <c r="AY59" i="5"/>
  <c r="AM22" i="10"/>
  <c r="AS60" i="5"/>
  <c r="AR71" i="5"/>
  <c r="AN12" i="4" s="1"/>
  <c r="AG24" i="13"/>
  <c r="AH13" i="27"/>
  <c r="AH12" i="27"/>
  <c r="AG8" i="27"/>
  <c r="AG17" i="27" s="1"/>
  <c r="AH9" i="27"/>
  <c r="AH18" i="27" s="1"/>
  <c r="AF23" i="13"/>
  <c r="AY61" i="5"/>
  <c r="AD81" i="9" l="1"/>
  <c r="AC11" i="22"/>
  <c r="AC12" i="13" s="1"/>
  <c r="AC13" i="4"/>
  <c r="AC14" i="4" s="1"/>
  <c r="AD80" i="9"/>
  <c r="Y20" i="10"/>
  <c r="Z20" i="10" s="1"/>
  <c r="AA13" i="22"/>
  <c r="AA18" i="10"/>
  <c r="AA12" i="22" s="1"/>
  <c r="AB14" i="4"/>
  <c r="AB11" i="4" s="1"/>
  <c r="AB35" i="4" s="1"/>
  <c r="AB11" i="10" s="1"/>
  <c r="AB12" i="10" s="1"/>
  <c r="Y25" i="10"/>
  <c r="Y24" i="10"/>
  <c r="U36" i="13"/>
  <c r="V35" i="13" s="1"/>
  <c r="AH22" i="3"/>
  <c r="AH28" i="3" s="1"/>
  <c r="AH26" i="3"/>
  <c r="AH32" i="3" s="1"/>
  <c r="AH23" i="3"/>
  <c r="AH29" i="3" s="1"/>
  <c r="AH25" i="3"/>
  <c r="AH31" i="3" s="1"/>
  <c r="AH24" i="3"/>
  <c r="AH30" i="3" s="1"/>
  <c r="AG10" i="4"/>
  <c r="AG57" i="9"/>
  <c r="AE58" i="9"/>
  <c r="Z10" i="22"/>
  <c r="Z14" i="13" s="1"/>
  <c r="AF19" i="4"/>
  <c r="AF15" i="4"/>
  <c r="AF16" i="4"/>
  <c r="AF18" i="4"/>
  <c r="AF20" i="4"/>
  <c r="AF23" i="4"/>
  <c r="AF21" i="4"/>
  <c r="AF22" i="4"/>
  <c r="AF26" i="4"/>
  <c r="AF33" i="4"/>
  <c r="AF28" i="4"/>
  <c r="AF25" i="4"/>
  <c r="AF27" i="4"/>
  <c r="AF30" i="4"/>
  <c r="AF29" i="4"/>
  <c r="AF34" i="4"/>
  <c r="AF32" i="4"/>
  <c r="AF31" i="4"/>
  <c r="AD77" i="9"/>
  <c r="AJ9" i="3"/>
  <c r="AI8" i="3"/>
  <c r="AI11" i="3"/>
  <c r="AH9" i="13"/>
  <c r="AH9" i="22"/>
  <c r="AH9" i="4"/>
  <c r="AH32" i="9"/>
  <c r="AH56" i="9" s="1"/>
  <c r="AH9" i="10"/>
  <c r="AH9" i="14" s="1"/>
  <c r="AE68" i="9"/>
  <c r="AD82" i="9"/>
  <c r="Z24" i="10"/>
  <c r="Z25" i="10"/>
  <c r="Z26" i="10" s="1"/>
  <c r="AG8" i="13"/>
  <c r="AG8" i="4"/>
  <c r="AG31" i="9"/>
  <c r="AG55" i="9" s="1"/>
  <c r="AG8" i="22"/>
  <c r="AG8" i="10"/>
  <c r="AG8" i="14" s="1"/>
  <c r="V16" i="14"/>
  <c r="U18" i="14"/>
  <c r="V12" i="14"/>
  <c r="U17" i="14"/>
  <c r="AE73" i="9"/>
  <c r="AC79" i="9"/>
  <c r="AF75" i="9"/>
  <c r="AF66" i="9"/>
  <c r="AF69" i="9"/>
  <c r="AF59" i="9"/>
  <c r="AF70" i="9"/>
  <c r="AF60" i="9"/>
  <c r="AF64" i="9"/>
  <c r="AF61" i="9"/>
  <c r="AF62" i="9"/>
  <c r="AF74" i="9"/>
  <c r="AF76" i="9"/>
  <c r="AF71" i="9"/>
  <c r="AF72" i="9"/>
  <c r="AF67" i="9"/>
  <c r="AF65" i="9"/>
  <c r="AG27" i="3"/>
  <c r="V33" i="13"/>
  <c r="V34" i="13" s="1"/>
  <c r="V31" i="13"/>
  <c r="V32" i="13"/>
  <c r="AE63" i="9"/>
  <c r="AB12" i="13"/>
  <c r="AD83" i="9"/>
  <c r="AE24" i="4"/>
  <c r="AE13" i="13" s="1"/>
  <c r="W30" i="13"/>
  <c r="X29" i="13"/>
  <c r="AA13" i="10"/>
  <c r="AA17" i="10"/>
  <c r="AD84" i="9"/>
  <c r="AM73" i="5"/>
  <c r="AI17" i="4" s="1"/>
  <c r="AN72" i="5"/>
  <c r="AZ59" i="5"/>
  <c r="AT60" i="5"/>
  <c r="AS71" i="5"/>
  <c r="AO12" i="4" s="1"/>
  <c r="AN22" i="10"/>
  <c r="AG23" i="13"/>
  <c r="AH8" i="27"/>
  <c r="AH17" i="27" s="1"/>
  <c r="AI9" i="27"/>
  <c r="AI18" i="27" s="1"/>
  <c r="AI12" i="27"/>
  <c r="AI13" i="27"/>
  <c r="AH24" i="13"/>
  <c r="AZ61" i="5"/>
  <c r="AA10" i="22" l="1"/>
  <c r="AA14" i="13" s="1"/>
  <c r="AA15" i="13" s="1"/>
  <c r="AA19" i="13" s="1"/>
  <c r="AA10" i="14" s="1"/>
  <c r="AA11" i="14" s="1"/>
  <c r="AA15" i="14" s="1"/>
  <c r="AF63" i="9"/>
  <c r="AD79" i="9"/>
  <c r="AC13" i="22"/>
  <c r="AC18" i="10"/>
  <c r="AC12" i="22" s="1"/>
  <c r="Z15" i="13"/>
  <c r="Z19" i="13" s="1"/>
  <c r="Z10" i="14" s="1"/>
  <c r="Z11" i="14" s="1"/>
  <c r="Z15" i="14" s="1"/>
  <c r="AG33" i="3"/>
  <c r="AF11" i="13"/>
  <c r="AF10" i="10"/>
  <c r="AI24" i="3"/>
  <c r="AI30" i="3" s="1"/>
  <c r="AI22" i="3"/>
  <c r="AI28" i="3" s="1"/>
  <c r="AI23" i="3"/>
  <c r="AI29" i="3" s="1"/>
  <c r="AI25" i="3"/>
  <c r="AI31" i="3" s="1"/>
  <c r="AI26" i="3"/>
  <c r="AI32" i="3" s="1"/>
  <c r="AH57" i="9"/>
  <c r="AH10" i="4"/>
  <c r="AH8" i="13"/>
  <c r="AH8" i="4"/>
  <c r="AH8" i="10"/>
  <c r="AH8" i="14" s="1"/>
  <c r="AH8" i="22"/>
  <c r="AH31" i="9"/>
  <c r="AH55" i="9" s="1"/>
  <c r="AK9" i="3"/>
  <c r="AJ8" i="3"/>
  <c r="AJ11" i="3"/>
  <c r="AI9" i="10"/>
  <c r="AI9" i="14" s="1"/>
  <c r="AI9" i="4"/>
  <c r="AI32" i="9"/>
  <c r="AI56" i="9" s="1"/>
  <c r="AI9" i="22"/>
  <c r="AI9" i="13"/>
  <c r="AF24" i="4"/>
  <c r="AF13" i="13" s="1"/>
  <c r="AH27" i="3"/>
  <c r="AB13" i="22"/>
  <c r="AB18" i="10"/>
  <c r="AB12" i="22" s="1"/>
  <c r="W33" i="13"/>
  <c r="W34" i="13" s="1"/>
  <c r="W32" i="13"/>
  <c r="W31" i="13"/>
  <c r="AB13" i="10"/>
  <c r="AB17" i="10"/>
  <c r="AE81" i="9"/>
  <c r="V17" i="14"/>
  <c r="W12" i="14"/>
  <c r="AD13" i="4"/>
  <c r="AD11" i="22"/>
  <c r="AD78" i="9"/>
  <c r="AE80" i="9"/>
  <c r="AF58" i="9"/>
  <c r="AG70" i="9"/>
  <c r="AG60" i="9"/>
  <c r="AG72" i="9"/>
  <c r="AG64" i="9"/>
  <c r="AG76" i="9"/>
  <c r="AG67" i="9"/>
  <c r="AG74" i="9"/>
  <c r="AG75" i="9"/>
  <c r="AG69" i="9"/>
  <c r="AG71" i="9"/>
  <c r="AG65" i="9"/>
  <c r="AG66" i="9"/>
  <c r="AG62" i="9"/>
  <c r="AG59" i="9"/>
  <c r="AG61" i="9"/>
  <c r="V36" i="13"/>
  <c r="W35" i="13" s="1"/>
  <c r="AA23" i="10"/>
  <c r="AA19" i="10"/>
  <c r="AF68" i="9"/>
  <c r="W16" i="14"/>
  <c r="V18" i="14"/>
  <c r="AG15" i="4"/>
  <c r="AG16" i="4"/>
  <c r="AG19" i="4"/>
  <c r="AG20" i="4"/>
  <c r="AG21" i="4"/>
  <c r="AG18" i="4"/>
  <c r="AG22" i="4"/>
  <c r="AG23" i="4"/>
  <c r="AG25" i="4"/>
  <c r="AG33" i="4"/>
  <c r="AG29" i="4"/>
  <c r="AG34" i="4"/>
  <c r="AG28" i="4"/>
  <c r="AG30" i="4"/>
  <c r="AG31" i="4"/>
  <c r="AG27" i="4"/>
  <c r="AG26" i="4"/>
  <c r="AG32" i="4"/>
  <c r="AE77" i="9"/>
  <c r="AE83" i="9"/>
  <c r="AE82" i="9"/>
  <c r="AE84" i="9"/>
  <c r="Y29" i="13"/>
  <c r="X30" i="13"/>
  <c r="AF73" i="9"/>
  <c r="AC11" i="4"/>
  <c r="AC35" i="4" s="1"/>
  <c r="AC11" i="10" s="1"/>
  <c r="AC12" i="10" s="1"/>
  <c r="Y26" i="10"/>
  <c r="AN73" i="5"/>
  <c r="AJ17" i="4" s="1"/>
  <c r="AO72" i="5"/>
  <c r="BA59" i="5"/>
  <c r="AU60" i="5"/>
  <c r="AT71" i="5"/>
  <c r="AP12" i="4" s="1"/>
  <c r="AO22" i="10"/>
  <c r="AJ9" i="27"/>
  <c r="AJ18" i="27" s="1"/>
  <c r="AI8" i="27"/>
  <c r="AI17" i="27" s="1"/>
  <c r="AI24" i="13"/>
  <c r="AJ12" i="27"/>
  <c r="AJ13" i="27"/>
  <c r="AH23" i="13"/>
  <c r="BA61" i="5"/>
  <c r="AC10" i="22" l="1"/>
  <c r="AC14" i="13" s="1"/>
  <c r="AC15" i="13" s="1"/>
  <c r="AC19" i="13" s="1"/>
  <c r="AC10" i="14" s="1"/>
  <c r="AC11" i="14" s="1"/>
  <c r="AC15" i="14" s="1"/>
  <c r="AB10" i="22"/>
  <c r="AB14" i="13" s="1"/>
  <c r="AB15" i="13" s="1"/>
  <c r="AB19" i="13" s="1"/>
  <c r="AB10" i="14" s="1"/>
  <c r="AB11" i="14" s="1"/>
  <c r="AB15" i="14" s="1"/>
  <c r="AF84" i="9"/>
  <c r="AG73" i="9"/>
  <c r="AF81" i="9"/>
  <c r="AI27" i="3"/>
  <c r="AH11" i="13" s="1"/>
  <c r="Z29" i="13"/>
  <c r="Y30" i="13"/>
  <c r="X16" i="14"/>
  <c r="W18" i="14"/>
  <c r="AG63" i="9"/>
  <c r="AD12" i="13"/>
  <c r="AF82" i="9"/>
  <c r="AA25" i="10"/>
  <c r="AA26" i="10" s="1"/>
  <c r="AA24" i="10"/>
  <c r="AF83" i="9"/>
  <c r="AD14" i="4"/>
  <c r="AD11" i="4" s="1"/>
  <c r="AD35" i="4" s="1"/>
  <c r="AD11" i="10" s="1"/>
  <c r="AD12" i="10" s="1"/>
  <c r="AA21" i="10"/>
  <c r="AA20" i="10"/>
  <c r="AG68" i="9"/>
  <c r="AE11" i="22"/>
  <c r="AE78" i="9"/>
  <c r="AE13" i="4"/>
  <c r="W36" i="13"/>
  <c r="X35" i="13" s="1"/>
  <c r="AJ22" i="3"/>
  <c r="AJ28" i="3" s="1"/>
  <c r="AJ26" i="3"/>
  <c r="AJ32" i="3" s="1"/>
  <c r="AJ23" i="3"/>
  <c r="AJ29" i="3" s="1"/>
  <c r="AJ24" i="3"/>
  <c r="AJ30" i="3" s="1"/>
  <c r="AJ25" i="3"/>
  <c r="AJ31" i="3" s="1"/>
  <c r="AI10" i="4"/>
  <c r="AI57" i="9"/>
  <c r="AH19" i="4"/>
  <c r="AH15" i="4"/>
  <c r="AH16" i="4"/>
  <c r="AH23" i="4"/>
  <c r="AH21" i="4"/>
  <c r="AH20" i="4"/>
  <c r="AH18" i="4"/>
  <c r="AH22" i="4"/>
  <c r="AH26" i="4"/>
  <c r="AH25" i="4"/>
  <c r="AH30" i="4"/>
  <c r="AH29" i="4"/>
  <c r="AH31" i="4"/>
  <c r="AH33" i="4"/>
  <c r="AH27" i="4"/>
  <c r="AH34" i="4"/>
  <c r="AH32" i="4"/>
  <c r="AH28" i="4"/>
  <c r="X12" i="14"/>
  <c r="W17" i="14"/>
  <c r="AG11" i="13"/>
  <c r="AG10" i="10"/>
  <c r="AH33" i="3"/>
  <c r="AI8" i="13"/>
  <c r="AI8" i="4"/>
  <c r="AI8" i="10"/>
  <c r="AI8" i="14" s="1"/>
  <c r="AI8" i="22"/>
  <c r="AI31" i="9"/>
  <c r="AI55" i="9" s="1"/>
  <c r="AH74" i="9"/>
  <c r="AH65" i="9"/>
  <c r="AH76" i="9"/>
  <c r="AH67" i="9"/>
  <c r="AH69" i="9"/>
  <c r="AH59" i="9"/>
  <c r="AH72" i="9"/>
  <c r="AH70" i="9"/>
  <c r="AH71" i="9"/>
  <c r="AH64" i="9"/>
  <c r="AH66" i="9"/>
  <c r="AH60" i="9"/>
  <c r="AH62" i="9"/>
  <c r="AH75" i="9"/>
  <c r="AH61" i="9"/>
  <c r="AC13" i="10"/>
  <c r="AC17" i="10"/>
  <c r="AG58" i="9"/>
  <c r="AE79" i="9"/>
  <c r="AB19" i="10"/>
  <c r="AB21" i="10" s="1"/>
  <c r="AB23" i="10"/>
  <c r="AL9" i="3"/>
  <c r="AK11" i="3"/>
  <c r="AK8" i="3"/>
  <c r="AJ9" i="10"/>
  <c r="AJ9" i="14" s="1"/>
  <c r="AJ9" i="22"/>
  <c r="AJ9" i="4"/>
  <c r="AJ32" i="9"/>
  <c r="AJ56" i="9" s="1"/>
  <c r="AJ9" i="13"/>
  <c r="AF77" i="9"/>
  <c r="AG24" i="4"/>
  <c r="AG13" i="13" s="1"/>
  <c r="X33" i="13"/>
  <c r="X34" i="13" s="1"/>
  <c r="X32" i="13"/>
  <c r="X31" i="13"/>
  <c r="AF80" i="9"/>
  <c r="AO73" i="5"/>
  <c r="AK17" i="4" s="1"/>
  <c r="AP72" i="5"/>
  <c r="BB59" i="5"/>
  <c r="AP22" i="10"/>
  <c r="AV60" i="5"/>
  <c r="AU71" i="5"/>
  <c r="AQ12" i="4" s="1"/>
  <c r="AJ24" i="13"/>
  <c r="AK13" i="27"/>
  <c r="AK12" i="27"/>
  <c r="AI23" i="13"/>
  <c r="AJ8" i="27"/>
  <c r="AJ17" i="27" s="1"/>
  <c r="AK9" i="27"/>
  <c r="AK18" i="27" s="1"/>
  <c r="BB61" i="5"/>
  <c r="AG81" i="9" l="1"/>
  <c r="AH10" i="10"/>
  <c r="AI33" i="3"/>
  <c r="AG80" i="9"/>
  <c r="AH68" i="9"/>
  <c r="AG83" i="9"/>
  <c r="AH58" i="9"/>
  <c r="AG82" i="9"/>
  <c r="AB20" i="10"/>
  <c r="AH24" i="4"/>
  <c r="AH13" i="13" s="1"/>
  <c r="AF79" i="9"/>
  <c r="AD13" i="10"/>
  <c r="AD17" i="10"/>
  <c r="AG84" i="9"/>
  <c r="AG77" i="9"/>
  <c r="AI70" i="9"/>
  <c r="AI60" i="9"/>
  <c r="AI72" i="9"/>
  <c r="AI64" i="9"/>
  <c r="AI76" i="9"/>
  <c r="AI67" i="9"/>
  <c r="AI66" i="9"/>
  <c r="AI59" i="9"/>
  <c r="AI74" i="9"/>
  <c r="AI75" i="9"/>
  <c r="AI71" i="9"/>
  <c r="AI62" i="9"/>
  <c r="AI65" i="9"/>
  <c r="AI69" i="9"/>
  <c r="AI61" i="9"/>
  <c r="X36" i="13"/>
  <c r="Y35" i="13" s="1"/>
  <c r="AD13" i="22"/>
  <c r="AD18" i="10"/>
  <c r="AD12" i="22" s="1"/>
  <c r="AJ27" i="3"/>
  <c r="AI15" i="4"/>
  <c r="AI16" i="4"/>
  <c r="AI19" i="4"/>
  <c r="AI18" i="4"/>
  <c r="AI20" i="4"/>
  <c r="AI21" i="4"/>
  <c r="AI23" i="4"/>
  <c r="AI22" i="4"/>
  <c r="AI34" i="4"/>
  <c r="AI28" i="4"/>
  <c r="AI27" i="4"/>
  <c r="AI31" i="4"/>
  <c r="AI30" i="4"/>
  <c r="AI25" i="4"/>
  <c r="AI26" i="4"/>
  <c r="AI33" i="4"/>
  <c r="AI32" i="4"/>
  <c r="AI29" i="4"/>
  <c r="AE14" i="4"/>
  <c r="AE11" i="4" s="1"/>
  <c r="AE35" i="4" s="1"/>
  <c r="AE11" i="10" s="1"/>
  <c r="AE12" i="10" s="1"/>
  <c r="AB25" i="10"/>
  <c r="AB26" i="10" s="1"/>
  <c r="AB24" i="10"/>
  <c r="AJ8" i="13"/>
  <c r="AJ8" i="4"/>
  <c r="AJ8" i="10"/>
  <c r="AJ8" i="14" s="1"/>
  <c r="AJ31" i="9"/>
  <c r="AJ55" i="9" s="1"/>
  <c r="AJ8" i="22"/>
  <c r="AC23" i="10"/>
  <c r="AC19" i="10"/>
  <c r="AC21" i="10" s="1"/>
  <c r="AH73" i="9"/>
  <c r="AK24" i="3"/>
  <c r="AK30" i="3" s="1"/>
  <c r="AK25" i="3"/>
  <c r="AK31" i="3" s="1"/>
  <c r="AK26" i="3"/>
  <c r="AK32" i="3" s="1"/>
  <c r="AK23" i="3"/>
  <c r="AK29" i="3" s="1"/>
  <c r="AK22" i="3"/>
  <c r="AK28" i="3" s="1"/>
  <c r="AJ57" i="9"/>
  <c r="AJ10" i="4"/>
  <c r="Y12" i="14"/>
  <c r="X17" i="14"/>
  <c r="AE12" i="13"/>
  <c r="Y16" i="14"/>
  <c r="X18" i="14"/>
  <c r="AH63" i="9"/>
  <c r="AF78" i="9"/>
  <c r="AF13" i="4"/>
  <c r="AF11" i="22"/>
  <c r="AL11" i="3"/>
  <c r="AK9" i="10"/>
  <c r="AK9" i="14" s="1"/>
  <c r="AK9" i="22"/>
  <c r="AK9" i="13"/>
  <c r="AL8" i="3"/>
  <c r="AK9" i="4"/>
  <c r="AM9" i="3"/>
  <c r="AK32" i="9"/>
  <c r="AK56" i="9" s="1"/>
  <c r="Y33" i="13"/>
  <c r="Y34" i="13" s="1"/>
  <c r="Y32" i="13"/>
  <c r="Y31" i="13"/>
  <c r="AA29" i="13"/>
  <c r="Z30" i="13"/>
  <c r="AP73" i="5"/>
  <c r="AL17" i="4" s="1"/>
  <c r="AQ72" i="5"/>
  <c r="BC59" i="5"/>
  <c r="AW60" i="5"/>
  <c r="AV71" i="5"/>
  <c r="AR12" i="4" s="1"/>
  <c r="AQ22" i="10"/>
  <c r="AK8" i="27"/>
  <c r="AK17" i="27" s="1"/>
  <c r="AL9" i="27"/>
  <c r="AL18" i="27" s="1"/>
  <c r="AL12" i="27"/>
  <c r="AL13" i="27"/>
  <c r="AK24" i="13"/>
  <c r="AJ23" i="13"/>
  <c r="BC61" i="5"/>
  <c r="AD10" i="22" l="1"/>
  <c r="AD14" i="13" s="1"/>
  <c r="AD15" i="13" s="1"/>
  <c r="AD19" i="13" s="1"/>
  <c r="AD10" i="14" s="1"/>
  <c r="AD11" i="14" s="1"/>
  <c r="AD15" i="14" s="1"/>
  <c r="AI68" i="9"/>
  <c r="AH80" i="9"/>
  <c r="AK27" i="3"/>
  <c r="AK33" i="3" s="1"/>
  <c r="AG79" i="9"/>
  <c r="AC20" i="10"/>
  <c r="AA30" i="13"/>
  <c r="AB29" i="13"/>
  <c r="AD19" i="10"/>
  <c r="AD21" i="10" s="1"/>
  <c r="AD23" i="10"/>
  <c r="AK8" i="4"/>
  <c r="AK8" i="13"/>
  <c r="AK31" i="9"/>
  <c r="AK55" i="9" s="1"/>
  <c r="AK8" i="22"/>
  <c r="AK8" i="10"/>
  <c r="AK8" i="14" s="1"/>
  <c r="AJ74" i="9"/>
  <c r="AJ65" i="9"/>
  <c r="AJ76" i="9"/>
  <c r="AJ67" i="9"/>
  <c r="AJ69" i="9"/>
  <c r="AJ59" i="9"/>
  <c r="AJ72" i="9"/>
  <c r="AJ62" i="9"/>
  <c r="AJ70" i="9"/>
  <c r="AJ71" i="9"/>
  <c r="AJ66" i="9"/>
  <c r="AJ75" i="9"/>
  <c r="AJ64" i="9"/>
  <c r="AJ60" i="9"/>
  <c r="AJ61" i="9"/>
  <c r="AH77" i="9"/>
  <c r="AH83" i="9"/>
  <c r="AH82" i="9"/>
  <c r="AH84" i="9"/>
  <c r="AI10" i="10"/>
  <c r="AJ33" i="3"/>
  <c r="AI11" i="13"/>
  <c r="AI24" i="4"/>
  <c r="AI13" i="13" s="1"/>
  <c r="AI63" i="9"/>
  <c r="Z16" i="14"/>
  <c r="Y18" i="14"/>
  <c r="AC25" i="10"/>
  <c r="AC24" i="10"/>
  <c r="AF14" i="4"/>
  <c r="AF11" i="4" s="1"/>
  <c r="AF35" i="4" s="1"/>
  <c r="AF11" i="10" s="1"/>
  <c r="AF12" i="10" s="1"/>
  <c r="AE13" i="10"/>
  <c r="AE17" i="10"/>
  <c r="AH81" i="9"/>
  <c r="AM8" i="3"/>
  <c r="AM11" i="3"/>
  <c r="AN9" i="3"/>
  <c r="AL9" i="4"/>
  <c r="AL9" i="10"/>
  <c r="AL9" i="14" s="1"/>
  <c r="AL9" i="22"/>
  <c r="AL32" i="9"/>
  <c r="AL56" i="9" s="1"/>
  <c r="AL9" i="13"/>
  <c r="AL22" i="3"/>
  <c r="AL28" i="3" s="1"/>
  <c r="AL26" i="3"/>
  <c r="AL32" i="3" s="1"/>
  <c r="AL23" i="3"/>
  <c r="AL29" i="3" s="1"/>
  <c r="AL25" i="3"/>
  <c r="AL31" i="3" s="1"/>
  <c r="AL24" i="3"/>
  <c r="AL30" i="3" s="1"/>
  <c r="AK10" i="4"/>
  <c r="AK57" i="9"/>
  <c r="AE13" i="22"/>
  <c r="AE18" i="10"/>
  <c r="AE12" i="22" s="1"/>
  <c r="AI73" i="9"/>
  <c r="Z12" i="14"/>
  <c r="Y17" i="14"/>
  <c r="AJ19" i="4"/>
  <c r="AJ15" i="4"/>
  <c r="AJ16" i="4"/>
  <c r="AJ21" i="4"/>
  <c r="AJ22" i="4"/>
  <c r="AJ23" i="4"/>
  <c r="AJ18" i="4"/>
  <c r="AJ20" i="4"/>
  <c r="AJ26" i="4"/>
  <c r="AJ27" i="4"/>
  <c r="AJ28" i="4"/>
  <c r="AJ25" i="4"/>
  <c r="AJ31" i="4"/>
  <c r="AJ33" i="4"/>
  <c r="AJ30" i="4"/>
  <c r="AJ32" i="4"/>
  <c r="AJ29" i="4"/>
  <c r="AJ34" i="4"/>
  <c r="Z33" i="13"/>
  <c r="Z34" i="13" s="1"/>
  <c r="Z31" i="13"/>
  <c r="Z32" i="13"/>
  <c r="AF12" i="13"/>
  <c r="Y36" i="13"/>
  <c r="Z35" i="13" s="1"/>
  <c r="AI58" i="9"/>
  <c r="AG11" i="22"/>
  <c r="AG12" i="13" s="1"/>
  <c r="AG13" i="4"/>
  <c r="AG78" i="9"/>
  <c r="AQ73" i="5"/>
  <c r="AM17" i="4" s="1"/>
  <c r="AR72" i="5"/>
  <c r="BD59" i="5"/>
  <c r="AR22" i="10"/>
  <c r="AX60" i="5"/>
  <c r="AW71" i="5"/>
  <c r="AS12" i="4" s="1"/>
  <c r="AM12" i="27"/>
  <c r="AM13" i="27"/>
  <c r="AK23" i="13"/>
  <c r="AL8" i="27"/>
  <c r="AL17" i="27" s="1"/>
  <c r="AM9" i="27"/>
  <c r="AM18" i="27" s="1"/>
  <c r="AL24" i="13"/>
  <c r="BD61" i="5"/>
  <c r="AC26" i="10" l="1"/>
  <c r="AJ11" i="13"/>
  <c r="AI82" i="9"/>
  <c r="AJ10" i="10"/>
  <c r="AE10" i="22"/>
  <c r="AE14" i="13" s="1"/>
  <c r="AE15" i="13" s="1"/>
  <c r="AE19" i="13" s="1"/>
  <c r="AE10" i="14" s="1"/>
  <c r="AE11" i="14" s="1"/>
  <c r="AE15" i="14" s="1"/>
  <c r="AD20" i="10"/>
  <c r="AI80" i="9"/>
  <c r="AJ73" i="9"/>
  <c r="AI77" i="9"/>
  <c r="AI13" i="4" s="1"/>
  <c r="AH79" i="9"/>
  <c r="AN8" i="3"/>
  <c r="AO9" i="3"/>
  <c r="AN11" i="3"/>
  <c r="AM9" i="4"/>
  <c r="AM9" i="10"/>
  <c r="AM9" i="14" s="1"/>
  <c r="AM32" i="9"/>
  <c r="AM56" i="9" s="1"/>
  <c r="AM9" i="13"/>
  <c r="AM9" i="22"/>
  <c r="AL8" i="4"/>
  <c r="AL8" i="13"/>
  <c r="AL8" i="22"/>
  <c r="AL31" i="9"/>
  <c r="AL55" i="9" s="1"/>
  <c r="AL8" i="10"/>
  <c r="AL8" i="14" s="1"/>
  <c r="AA16" i="14"/>
  <c r="Z18" i="14"/>
  <c r="AI83" i="9"/>
  <c r="AH13" i="4"/>
  <c r="AH11" i="22"/>
  <c r="AH78" i="9"/>
  <c r="AC29" i="13"/>
  <c r="AB30" i="13"/>
  <c r="AJ24" i="4"/>
  <c r="AJ13" i="13" s="1"/>
  <c r="AK70" i="9"/>
  <c r="AK60" i="9"/>
  <c r="AK72" i="9"/>
  <c r="AK64" i="9"/>
  <c r="AK76" i="9"/>
  <c r="AK67" i="9"/>
  <c r="AK75" i="9"/>
  <c r="AK69" i="9"/>
  <c r="AK65" i="9"/>
  <c r="AK66" i="9"/>
  <c r="AK62" i="9"/>
  <c r="AK74" i="9"/>
  <c r="AK71" i="9"/>
  <c r="AK59" i="9"/>
  <c r="AK61" i="9"/>
  <c r="AE23" i="10"/>
  <c r="AE19" i="10"/>
  <c r="AE21" i="10" s="1"/>
  <c r="AA33" i="13"/>
  <c r="AA34" i="13" s="1"/>
  <c r="AA32" i="13"/>
  <c r="AA31" i="13"/>
  <c r="AG14" i="4"/>
  <c r="AG11" i="4" s="1"/>
  <c r="AG35" i="4" s="1"/>
  <c r="AG11" i="10" s="1"/>
  <c r="AG12" i="10" s="1"/>
  <c r="AK15" i="4"/>
  <c r="AK16" i="4"/>
  <c r="AK19" i="4"/>
  <c r="AK18" i="4"/>
  <c r="AK22" i="4"/>
  <c r="AK20" i="4"/>
  <c r="AK21" i="4"/>
  <c r="AK23" i="4"/>
  <c r="AK27" i="4"/>
  <c r="AK28" i="4"/>
  <c r="AK29" i="4"/>
  <c r="AK30" i="4"/>
  <c r="AK26" i="4"/>
  <c r="AK33" i="4"/>
  <c r="AK25" i="4"/>
  <c r="AK34" i="4"/>
  <c r="AK31" i="4"/>
  <c r="AK32" i="4"/>
  <c r="AI84" i="9"/>
  <c r="AJ58" i="9"/>
  <c r="AL27" i="3"/>
  <c r="AF13" i="10"/>
  <c r="AF17" i="10"/>
  <c r="AJ63" i="9"/>
  <c r="AJ68" i="9"/>
  <c r="AM24" i="3"/>
  <c r="AM30" i="3" s="1"/>
  <c r="AM22" i="3"/>
  <c r="AM28" i="3" s="1"/>
  <c r="AM25" i="3"/>
  <c r="AM31" i="3" s="1"/>
  <c r="AM23" i="3"/>
  <c r="AM29" i="3" s="1"/>
  <c r="AL10" i="4"/>
  <c r="AM26" i="3"/>
  <c r="AM32" i="3" s="1"/>
  <c r="AL57" i="9"/>
  <c r="AD24" i="10"/>
  <c r="AD25" i="10"/>
  <c r="AD26" i="10" s="1"/>
  <c r="Z36" i="13"/>
  <c r="AA35" i="13" s="1"/>
  <c r="AA12" i="14"/>
  <c r="Z17" i="14"/>
  <c r="AF13" i="22"/>
  <c r="AF18" i="10"/>
  <c r="AF12" i="22" s="1"/>
  <c r="AI81" i="9"/>
  <c r="AR73" i="5"/>
  <c r="AN17" i="4" s="1"/>
  <c r="AS72" i="5"/>
  <c r="BE59" i="5"/>
  <c r="AY60" i="5"/>
  <c r="AX71" i="5"/>
  <c r="AT12" i="4" s="1"/>
  <c r="AS22" i="10"/>
  <c r="AN9" i="27"/>
  <c r="AN18" i="27" s="1"/>
  <c r="AM8" i="27"/>
  <c r="AM17" i="27" s="1"/>
  <c r="AL23" i="13"/>
  <c r="AM24" i="13"/>
  <c r="AN13" i="27"/>
  <c r="AN12" i="27"/>
  <c r="BE61" i="5"/>
  <c r="AJ84" i="9" l="1"/>
  <c r="AI78" i="9"/>
  <c r="AI11" i="22"/>
  <c r="AI12" i="13" s="1"/>
  <c r="AJ81" i="9"/>
  <c r="AJ83" i="9"/>
  <c r="AJ80" i="9"/>
  <c r="AJ82" i="9"/>
  <c r="AA36" i="13"/>
  <c r="AB35" i="13" s="1"/>
  <c r="AJ77" i="9"/>
  <c r="AJ13" i="4" s="1"/>
  <c r="AK24" i="4"/>
  <c r="AK13" i="13" s="1"/>
  <c r="AI79" i="9"/>
  <c r="AA17" i="14"/>
  <c r="AB12" i="14"/>
  <c r="AG13" i="10"/>
  <c r="AG17" i="10"/>
  <c r="AM27" i="3"/>
  <c r="AB33" i="13"/>
  <c r="AB34" i="13" s="1"/>
  <c r="AB32" i="13"/>
  <c r="AB31" i="13"/>
  <c r="AB16" i="14"/>
  <c r="AA18" i="14"/>
  <c r="AK73" i="9"/>
  <c r="AK63" i="9"/>
  <c r="AC30" i="13"/>
  <c r="AD29" i="13"/>
  <c r="AM8" i="4"/>
  <c r="AM8" i="13"/>
  <c r="AM8" i="22"/>
  <c r="AM31" i="9"/>
  <c r="AM55" i="9" s="1"/>
  <c r="AM8" i="10"/>
  <c r="AM8" i="14" s="1"/>
  <c r="AK58" i="9"/>
  <c r="AG13" i="22"/>
  <c r="AG18" i="10"/>
  <c r="AG12" i="22" s="1"/>
  <c r="AI14" i="4"/>
  <c r="AI11" i="4" s="1"/>
  <c r="AI35" i="4" s="1"/>
  <c r="AI11" i="10" s="1"/>
  <c r="AI12" i="10" s="1"/>
  <c r="AK11" i="13"/>
  <c r="AK10" i="10"/>
  <c r="AL33" i="3"/>
  <c r="AL74" i="9"/>
  <c r="AL65" i="9"/>
  <c r="AL76" i="9"/>
  <c r="AL67" i="9"/>
  <c r="AL69" i="9"/>
  <c r="AL59" i="9"/>
  <c r="AL72" i="9"/>
  <c r="AL71" i="9"/>
  <c r="AL64" i="9"/>
  <c r="AL60" i="9"/>
  <c r="AL62" i="9"/>
  <c r="AL75" i="9"/>
  <c r="AL70" i="9"/>
  <c r="AL66" i="9"/>
  <c r="AL61" i="9"/>
  <c r="AF10" i="22"/>
  <c r="AF14" i="13" s="1"/>
  <c r="AF15" i="13" s="1"/>
  <c r="AF19" i="13" s="1"/>
  <c r="AF10" i="14" s="1"/>
  <c r="AF11" i="14" s="1"/>
  <c r="AF15" i="14" s="1"/>
  <c r="AE20" i="10"/>
  <c r="AH12" i="13"/>
  <c r="AL19" i="4"/>
  <c r="AL15" i="4"/>
  <c r="AL16" i="4"/>
  <c r="AL18" i="4"/>
  <c r="AL20" i="4"/>
  <c r="AL21" i="4"/>
  <c r="AL22" i="4"/>
  <c r="AL23" i="4"/>
  <c r="AL29" i="4"/>
  <c r="AL28" i="4"/>
  <c r="AL26" i="4"/>
  <c r="AL32" i="4"/>
  <c r="AL30" i="4"/>
  <c r="AL25" i="4"/>
  <c r="AL31" i="4"/>
  <c r="AL33" i="4"/>
  <c r="AL27" i="4"/>
  <c r="AL34" i="4"/>
  <c r="AH14" i="4"/>
  <c r="AH11" i="4" s="1"/>
  <c r="AH35" i="4" s="1"/>
  <c r="AH11" i="10" s="1"/>
  <c r="AH12" i="10" s="1"/>
  <c r="AN22" i="3"/>
  <c r="AN28" i="3" s="1"/>
  <c r="AN26" i="3"/>
  <c r="AN32" i="3" s="1"/>
  <c r="AN23" i="3"/>
  <c r="AN29" i="3" s="1"/>
  <c r="AN24" i="3"/>
  <c r="AN30" i="3" s="1"/>
  <c r="AN25" i="3"/>
  <c r="AN31" i="3" s="1"/>
  <c r="AM10" i="4"/>
  <c r="AM57" i="9"/>
  <c r="AF19" i="10"/>
  <c r="AF21" i="10" s="1"/>
  <c r="AF23" i="10"/>
  <c r="AE25" i="10"/>
  <c r="AE26" i="10" s="1"/>
  <c r="AE24" i="10"/>
  <c r="AK68" i="9"/>
  <c r="AO8" i="3"/>
  <c r="AP9" i="3"/>
  <c r="AN9" i="13"/>
  <c r="AN32" i="9"/>
  <c r="AN56" i="9" s="1"/>
  <c r="AN9" i="4"/>
  <c r="AO11" i="3"/>
  <c r="AN9" i="10"/>
  <c r="AN9" i="14" s="1"/>
  <c r="AN9" i="22"/>
  <c r="AS73" i="5"/>
  <c r="AO17" i="4" s="1"/>
  <c r="AT72" i="5"/>
  <c r="BF59" i="5"/>
  <c r="AT22" i="10"/>
  <c r="AZ60" i="5"/>
  <c r="AY71" i="5"/>
  <c r="AU12" i="4" s="1"/>
  <c r="AN8" i="27"/>
  <c r="AN17" i="27" s="1"/>
  <c r="AO9" i="27"/>
  <c r="AO18" i="27" s="1"/>
  <c r="AN24" i="13"/>
  <c r="AO13" i="27"/>
  <c r="AO12" i="27"/>
  <c r="AM23" i="13"/>
  <c r="BF61" i="5"/>
  <c r="AK81" i="9" l="1"/>
  <c r="AK84" i="9"/>
  <c r="AJ78" i="9"/>
  <c r="AJ11" i="22"/>
  <c r="AJ12" i="13" s="1"/>
  <c r="AJ79" i="9"/>
  <c r="AK83" i="9"/>
  <c r="AG10" i="22"/>
  <c r="AG14" i="13" s="1"/>
  <c r="AG15" i="13" s="1"/>
  <c r="AG19" i="13" s="1"/>
  <c r="AG10" i="14" s="1"/>
  <c r="AG11" i="14" s="1"/>
  <c r="AG15" i="14" s="1"/>
  <c r="AK82" i="9"/>
  <c r="AB36" i="13"/>
  <c r="AC35" i="13" s="1"/>
  <c r="AK80" i="9"/>
  <c r="AM15" i="4"/>
  <c r="AM16" i="4"/>
  <c r="AM19" i="4"/>
  <c r="AM22" i="4"/>
  <c r="AM23" i="4"/>
  <c r="AM20" i="4"/>
  <c r="AM18" i="4"/>
  <c r="AM21" i="4"/>
  <c r="AM27" i="4"/>
  <c r="AM30" i="4"/>
  <c r="AM31" i="4"/>
  <c r="AM28" i="4"/>
  <c r="AM29" i="4"/>
  <c r="AM26" i="4"/>
  <c r="AM33" i="4"/>
  <c r="AM32" i="4"/>
  <c r="AM25" i="4"/>
  <c r="AM34" i="4"/>
  <c r="AL58" i="9"/>
  <c r="AJ14" i="4"/>
  <c r="AJ11" i="4" s="1"/>
  <c r="AJ35" i="4" s="1"/>
  <c r="AJ11" i="10" s="1"/>
  <c r="AJ12" i="10" s="1"/>
  <c r="AH13" i="10"/>
  <c r="AH17" i="10"/>
  <c r="AL68" i="9"/>
  <c r="AB18" i="14"/>
  <c r="AC16" i="14"/>
  <c r="AG23" i="10"/>
  <c r="AG19" i="10"/>
  <c r="AH13" i="22"/>
  <c r="AH18" i="10"/>
  <c r="AH12" i="22" s="1"/>
  <c r="AD30" i="13"/>
  <c r="AE29" i="13"/>
  <c r="AI13" i="10"/>
  <c r="AI17" i="10"/>
  <c r="AN8" i="13"/>
  <c r="AN8" i="4"/>
  <c r="AN8" i="22"/>
  <c r="AN8" i="10"/>
  <c r="AN8" i="14" s="1"/>
  <c r="AN31" i="9"/>
  <c r="AN55" i="9" s="1"/>
  <c r="AC33" i="13"/>
  <c r="AC34" i="13" s="1"/>
  <c r="AC31" i="13"/>
  <c r="AC32" i="13"/>
  <c r="AB17" i="14"/>
  <c r="AC12" i="14"/>
  <c r="AI13" i="22"/>
  <c r="AI18" i="10"/>
  <c r="AI12" i="22" s="1"/>
  <c r="AO24" i="3"/>
  <c r="AO30" i="3" s="1"/>
  <c r="AO25" i="3"/>
  <c r="AO31" i="3" s="1"/>
  <c r="AO26" i="3"/>
  <c r="AO32" i="3" s="1"/>
  <c r="AO23" i="3"/>
  <c r="AO29" i="3" s="1"/>
  <c r="AO22" i="3"/>
  <c r="AO28" i="3" s="1"/>
  <c r="AN10" i="4"/>
  <c r="AN57" i="9"/>
  <c r="AM70" i="9"/>
  <c r="AM60" i="9"/>
  <c r="AM72" i="9"/>
  <c r="AM64" i="9"/>
  <c r="AM76" i="9"/>
  <c r="AM67" i="9"/>
  <c r="AM66" i="9"/>
  <c r="AM59" i="9"/>
  <c r="AM74" i="9"/>
  <c r="AM75" i="9"/>
  <c r="AM71" i="9"/>
  <c r="AM62" i="9"/>
  <c r="AM69" i="9"/>
  <c r="AM65" i="9"/>
  <c r="AM61" i="9"/>
  <c r="AP8" i="3"/>
  <c r="AP11" i="3"/>
  <c r="AQ9" i="3"/>
  <c r="AO9" i="22"/>
  <c r="AO32" i="9"/>
  <c r="AO56" i="9" s="1"/>
  <c r="AO9" i="13"/>
  <c r="AO9" i="4"/>
  <c r="AO9" i="10"/>
  <c r="AO9" i="14" s="1"/>
  <c r="AF25" i="10"/>
  <c r="AF24" i="10"/>
  <c r="AN27" i="3"/>
  <c r="AL24" i="4"/>
  <c r="AL13" i="13" s="1"/>
  <c r="AF20" i="10"/>
  <c r="AL63" i="9"/>
  <c r="AL73" i="9"/>
  <c r="AK77" i="9"/>
  <c r="AL11" i="13"/>
  <c r="AM33" i="3"/>
  <c r="AL10" i="10"/>
  <c r="AT73" i="5"/>
  <c r="AP17" i="4" s="1"/>
  <c r="AU72" i="5"/>
  <c r="BG59" i="5"/>
  <c r="BA60" i="5"/>
  <c r="AZ71" i="5"/>
  <c r="AV12" i="4" s="1"/>
  <c r="AU22" i="10"/>
  <c r="AP12" i="27"/>
  <c r="AP13" i="27"/>
  <c r="AO24" i="13"/>
  <c r="AN23" i="13"/>
  <c r="AO8" i="27"/>
  <c r="AO17" i="27" s="1"/>
  <c r="AP9" i="27"/>
  <c r="AP18" i="27" s="1"/>
  <c r="BG61" i="5"/>
  <c r="AK79" i="9" l="1"/>
  <c r="AL80" i="9"/>
  <c r="AH10" i="22"/>
  <c r="AH14" i="13" s="1"/>
  <c r="AH15" i="13" s="1"/>
  <c r="AH19" i="13" s="1"/>
  <c r="AH10" i="14" s="1"/>
  <c r="AH11" i="14" s="1"/>
  <c r="AH15" i="14" s="1"/>
  <c r="AL77" i="9"/>
  <c r="AL11" i="22" s="1"/>
  <c r="AM73" i="9"/>
  <c r="AM58" i="9"/>
  <c r="AL81" i="9"/>
  <c r="AJ13" i="10"/>
  <c r="AJ17" i="10"/>
  <c r="AD33" i="13"/>
  <c r="AD34" i="13" s="1"/>
  <c r="AD31" i="13"/>
  <c r="AD32" i="13"/>
  <c r="AG25" i="10"/>
  <c r="AG26" i="10" s="1"/>
  <c r="AG24" i="10"/>
  <c r="AH19" i="10"/>
  <c r="AH21" i="10" s="1"/>
  <c r="AH23" i="10"/>
  <c r="AI10" i="22"/>
  <c r="AI14" i="13" s="1"/>
  <c r="AI15" i="13" s="1"/>
  <c r="AI19" i="13" s="1"/>
  <c r="AI10" i="14" s="1"/>
  <c r="AI11" i="14" s="1"/>
  <c r="AI15" i="14" s="1"/>
  <c r="AC36" i="13"/>
  <c r="AD35" i="13" s="1"/>
  <c r="AD16" i="14"/>
  <c r="AC18" i="14"/>
  <c r="AF26" i="10"/>
  <c r="AK11" i="22"/>
  <c r="AK13" i="4"/>
  <c r="AK78" i="9"/>
  <c r="AL82" i="9"/>
  <c r="AM68" i="9"/>
  <c r="AN16" i="4"/>
  <c r="AN15" i="4"/>
  <c r="AN19" i="4"/>
  <c r="AN18" i="4"/>
  <c r="AN20" i="4"/>
  <c r="AN23" i="4"/>
  <c r="AN21" i="4"/>
  <c r="AN22" i="4"/>
  <c r="AN31" i="4"/>
  <c r="AN28" i="4"/>
  <c r="AN30" i="4"/>
  <c r="AN25" i="4"/>
  <c r="AN26" i="4"/>
  <c r="AN33" i="4"/>
  <c r="AN29" i="4"/>
  <c r="AN34" i="4"/>
  <c r="AN27" i="4"/>
  <c r="AN32" i="4"/>
  <c r="AD12" i="14"/>
  <c r="AC17" i="14"/>
  <c r="AP24" i="3"/>
  <c r="AP30" i="3" s="1"/>
  <c r="AP25" i="3"/>
  <c r="AP31" i="3" s="1"/>
  <c r="AP23" i="3"/>
  <c r="AP29" i="3" s="1"/>
  <c r="AP26" i="3"/>
  <c r="AP32" i="3" s="1"/>
  <c r="AP22" i="3"/>
  <c r="AP28" i="3" s="1"/>
  <c r="AO10" i="4"/>
  <c r="AO57" i="9"/>
  <c r="AF29" i="13"/>
  <c r="AE30" i="13"/>
  <c r="AN74" i="9"/>
  <c r="AN65" i="9"/>
  <c r="AN76" i="9"/>
  <c r="AN67" i="9"/>
  <c r="AN69" i="9"/>
  <c r="AN59" i="9"/>
  <c r="AN72" i="9"/>
  <c r="AN62" i="9"/>
  <c r="AN61" i="9"/>
  <c r="AN70" i="9"/>
  <c r="AN71" i="9"/>
  <c r="AN66" i="9"/>
  <c r="AN75" i="9"/>
  <c r="AN64" i="9"/>
  <c r="AN60" i="9"/>
  <c r="AL84" i="9"/>
  <c r="AM63" i="9"/>
  <c r="AO27" i="3"/>
  <c r="AJ13" i="22"/>
  <c r="AJ18" i="10"/>
  <c r="AJ12" i="22" s="1"/>
  <c r="AI23" i="10"/>
  <c r="AI19" i="10"/>
  <c r="AI21" i="10" s="1"/>
  <c r="AM24" i="4"/>
  <c r="AM13" i="13" s="1"/>
  <c r="AG20" i="10"/>
  <c r="AG21" i="10"/>
  <c r="AO8" i="13"/>
  <c r="AO8" i="4"/>
  <c r="AO8" i="22"/>
  <c r="AO31" i="9"/>
  <c r="AO55" i="9" s="1"/>
  <c r="AO8" i="10"/>
  <c r="AO8" i="14" s="1"/>
  <c r="AL83" i="9"/>
  <c r="AN33" i="3"/>
  <c r="AM11" i="13"/>
  <c r="AM10" i="10"/>
  <c r="AR9" i="3"/>
  <c r="AQ8" i="3"/>
  <c r="AQ11" i="3"/>
  <c r="AP9" i="13"/>
  <c r="AP32" i="9"/>
  <c r="AP56" i="9" s="1"/>
  <c r="AP9" i="22"/>
  <c r="AP9" i="10"/>
  <c r="AP9" i="14" s="1"/>
  <c r="AP9" i="4"/>
  <c r="AU73" i="5"/>
  <c r="AQ17" i="4" s="1"/>
  <c r="AV72" i="5"/>
  <c r="BH59" i="5"/>
  <c r="AV22" i="10"/>
  <c r="BB60" i="5"/>
  <c r="BA71" i="5"/>
  <c r="AW12" i="4" s="1"/>
  <c r="AP8" i="27"/>
  <c r="AP17" i="27" s="1"/>
  <c r="AQ9" i="27"/>
  <c r="AQ18" i="27" s="1"/>
  <c r="AO23" i="13"/>
  <c r="AQ13" i="27"/>
  <c r="AQ12" i="27"/>
  <c r="AP24" i="13"/>
  <c r="BH61" i="5"/>
  <c r="AL13" i="4" l="1"/>
  <c r="AJ10" i="22"/>
  <c r="AJ14" i="13" s="1"/>
  <c r="AJ15" i="13" s="1"/>
  <c r="AJ19" i="13" s="1"/>
  <c r="AJ10" i="14" s="1"/>
  <c r="AJ11" i="14" s="1"/>
  <c r="AJ15" i="14" s="1"/>
  <c r="AD36" i="13"/>
  <c r="AE35" i="13" s="1"/>
  <c r="AM83" i="9"/>
  <c r="AM81" i="9"/>
  <c r="AM80" i="9"/>
  <c r="AM82" i="9"/>
  <c r="AM84" i="9"/>
  <c r="AL78" i="9"/>
  <c r="AN73" i="9"/>
  <c r="AM77" i="9"/>
  <c r="AM11" i="22" s="1"/>
  <c r="AN63" i="9"/>
  <c r="AN68" i="9"/>
  <c r="AL79" i="9"/>
  <c r="AP27" i="3"/>
  <c r="AO10" i="10" s="1"/>
  <c r="AH20" i="10"/>
  <c r="AI20" i="10" s="1"/>
  <c r="AE16" i="14"/>
  <c r="AD18" i="14"/>
  <c r="AL12" i="13"/>
  <c r="AI25" i="10"/>
  <c r="AI26" i="10" s="1"/>
  <c r="AI24" i="10"/>
  <c r="AE33" i="13"/>
  <c r="AE34" i="13" s="1"/>
  <c r="AE31" i="13"/>
  <c r="AE32" i="13"/>
  <c r="AK14" i="4"/>
  <c r="AK11" i="4" s="1"/>
  <c r="AK35" i="4" s="1"/>
  <c r="AK11" i="10" s="1"/>
  <c r="AK12" i="10" s="1"/>
  <c r="AH25" i="10"/>
  <c r="AH26" i="10" s="1"/>
  <c r="AH24" i="10"/>
  <c r="AS9" i="3"/>
  <c r="AR11" i="3"/>
  <c r="AQ9" i="4"/>
  <c r="AQ32" i="9"/>
  <c r="AQ56" i="9" s="1"/>
  <c r="AQ9" i="10"/>
  <c r="AQ9" i="14" s="1"/>
  <c r="AR8" i="3"/>
  <c r="AQ9" i="13"/>
  <c r="AQ9" i="22"/>
  <c r="AF30" i="13"/>
  <c r="AG29" i="13"/>
  <c r="AN24" i="4"/>
  <c r="AN13" i="13" s="1"/>
  <c r="AK12" i="13"/>
  <c r="AQ22" i="3"/>
  <c r="AQ28" i="3" s="1"/>
  <c r="AQ26" i="3"/>
  <c r="AQ32" i="3" s="1"/>
  <c r="AQ23" i="3"/>
  <c r="AQ29" i="3" s="1"/>
  <c r="AQ25" i="3"/>
  <c r="AQ31" i="3" s="1"/>
  <c r="AQ24" i="3"/>
  <c r="AQ30" i="3" s="1"/>
  <c r="AP57" i="9"/>
  <c r="AP10" i="4"/>
  <c r="AL14" i="4"/>
  <c r="AL11" i="4" s="1"/>
  <c r="AL35" i="4" s="1"/>
  <c r="AL11" i="10" s="1"/>
  <c r="AL12" i="10" s="1"/>
  <c r="AO69" i="9"/>
  <c r="AO59" i="9"/>
  <c r="AO71" i="9"/>
  <c r="AO62" i="9"/>
  <c r="AO72" i="9"/>
  <c r="AO75" i="9"/>
  <c r="AO66" i="9"/>
  <c r="AO74" i="9"/>
  <c r="AO70" i="9"/>
  <c r="AO64" i="9"/>
  <c r="AO76" i="9"/>
  <c r="AO65" i="9"/>
  <c r="AO60" i="9"/>
  <c r="AO67" i="9"/>
  <c r="AO61" i="9"/>
  <c r="AD17" i="14"/>
  <c r="AE12" i="14"/>
  <c r="AJ19" i="10"/>
  <c r="AJ21" i="10" s="1"/>
  <c r="AJ23" i="10"/>
  <c r="AN58" i="9"/>
  <c r="AP8" i="13"/>
  <c r="AP8" i="22"/>
  <c r="AP31" i="9"/>
  <c r="AP55" i="9" s="1"/>
  <c r="AP8" i="4"/>
  <c r="AP8" i="10"/>
  <c r="AP8" i="14" s="1"/>
  <c r="AN10" i="10"/>
  <c r="AN11" i="13"/>
  <c r="AO33" i="3"/>
  <c r="AO15" i="4"/>
  <c r="AO16" i="4"/>
  <c r="AO19" i="4"/>
  <c r="AO20" i="4"/>
  <c r="AO21" i="4"/>
  <c r="AO18" i="4"/>
  <c r="AO22" i="4"/>
  <c r="AO23" i="4"/>
  <c r="AO25" i="4"/>
  <c r="AO30" i="4"/>
  <c r="AO31" i="4"/>
  <c r="AO26" i="4"/>
  <c r="AO27" i="4"/>
  <c r="AO29" i="4"/>
  <c r="AO28" i="4"/>
  <c r="AO34" i="4"/>
  <c r="AO33" i="4"/>
  <c r="AO32" i="4"/>
  <c r="AV73" i="5"/>
  <c r="AR17" i="4" s="1"/>
  <c r="AW72" i="5"/>
  <c r="BI59" i="5"/>
  <c r="BC60" i="5"/>
  <c r="BB71" i="5"/>
  <c r="AX12" i="4" s="1"/>
  <c r="AW22" i="10"/>
  <c r="AP23" i="13"/>
  <c r="AR12" i="27"/>
  <c r="AR13" i="27"/>
  <c r="AQ24" i="13"/>
  <c r="AR9" i="27"/>
  <c r="AR18" i="27" s="1"/>
  <c r="AQ8" i="27"/>
  <c r="AQ17" i="27" s="1"/>
  <c r="BI61" i="5"/>
  <c r="AM79" i="9" l="1"/>
  <c r="AM78" i="9"/>
  <c r="AM13" i="4"/>
  <c r="AM14" i="4" s="1"/>
  <c r="AM11" i="4" s="1"/>
  <c r="AM35" i="4" s="1"/>
  <c r="AM11" i="10" s="1"/>
  <c r="AM12" i="10" s="1"/>
  <c r="AN84" i="9"/>
  <c r="AP33" i="3"/>
  <c r="AO11" i="13"/>
  <c r="AN81" i="9"/>
  <c r="AJ20" i="10"/>
  <c r="AK13" i="10"/>
  <c r="AK17" i="10"/>
  <c r="AF33" i="13"/>
  <c r="AF34" i="13" s="1"/>
  <c r="AF32" i="13"/>
  <c r="AF31" i="13"/>
  <c r="AT9" i="3"/>
  <c r="AS11" i="3"/>
  <c r="AS8" i="3"/>
  <c r="AR9" i="22"/>
  <c r="AR9" i="10"/>
  <c r="AR9" i="14" s="1"/>
  <c r="AR9" i="4"/>
  <c r="AR32" i="9"/>
  <c r="AR56" i="9" s="1"/>
  <c r="AR9" i="13"/>
  <c r="AN83" i="9"/>
  <c r="AN82" i="9"/>
  <c r="AO63" i="9"/>
  <c r="AN77" i="9"/>
  <c r="AN80" i="9"/>
  <c r="AE17" i="14"/>
  <c r="AF12" i="14"/>
  <c r="AO68" i="9"/>
  <c r="AE36" i="13"/>
  <c r="AF35" i="13" s="1"/>
  <c r="AO73" i="9"/>
  <c r="AL13" i="10"/>
  <c r="AL17" i="10"/>
  <c r="AQ27" i="3"/>
  <c r="AQ8" i="13"/>
  <c r="AQ8" i="4"/>
  <c r="AQ8" i="10"/>
  <c r="AQ8" i="14" s="1"/>
  <c r="AQ8" i="22"/>
  <c r="AQ31" i="9"/>
  <c r="AQ55" i="9" s="1"/>
  <c r="AP64" i="9"/>
  <c r="AP75" i="9"/>
  <c r="AP66" i="9"/>
  <c r="AP76" i="9"/>
  <c r="AP67" i="9"/>
  <c r="AP71" i="9"/>
  <c r="AP62" i="9"/>
  <c r="AP74" i="9"/>
  <c r="AP69" i="9"/>
  <c r="AP65" i="9"/>
  <c r="AP70" i="9"/>
  <c r="AP72" i="9"/>
  <c r="AP59" i="9"/>
  <c r="AP60" i="9"/>
  <c r="AP61" i="9"/>
  <c r="AF16" i="14"/>
  <c r="AE18" i="14"/>
  <c r="AR24" i="3"/>
  <c r="AR30" i="3" s="1"/>
  <c r="AR25" i="3"/>
  <c r="AR31" i="3" s="1"/>
  <c r="AR23" i="3"/>
  <c r="AR29" i="3" s="1"/>
  <c r="AR22" i="3"/>
  <c r="AR28" i="3" s="1"/>
  <c r="AR26" i="3"/>
  <c r="AR32" i="3" s="1"/>
  <c r="AQ10" i="4"/>
  <c r="AQ57" i="9"/>
  <c r="AL13" i="22"/>
  <c r="AL18" i="10"/>
  <c r="AL12" i="22" s="1"/>
  <c r="AK13" i="22"/>
  <c r="AK18" i="10"/>
  <c r="AK12" i="22" s="1"/>
  <c r="AO24" i="4"/>
  <c r="AO13" i="13" s="1"/>
  <c r="AJ25" i="10"/>
  <c r="AJ24" i="10"/>
  <c r="AG30" i="13"/>
  <c r="AH29" i="13"/>
  <c r="AO58" i="9"/>
  <c r="AP16" i="4"/>
  <c r="AP19" i="4"/>
  <c r="AP15" i="4"/>
  <c r="AP23" i="4"/>
  <c r="AP21" i="4"/>
  <c r="AP20" i="4"/>
  <c r="AP22" i="4"/>
  <c r="AP18" i="4"/>
  <c r="AP29" i="4"/>
  <c r="AP33" i="4"/>
  <c r="AP32" i="4"/>
  <c r="AP27" i="4"/>
  <c r="AP31" i="4"/>
  <c r="AP34" i="4"/>
  <c r="AP30" i="4"/>
  <c r="AP26" i="4"/>
  <c r="AP25" i="4"/>
  <c r="AP28" i="4"/>
  <c r="AM12" i="13"/>
  <c r="AW73" i="5"/>
  <c r="AS17" i="4" s="1"/>
  <c r="AX72" i="5"/>
  <c r="BJ59" i="5"/>
  <c r="AX22" i="10"/>
  <c r="BD60" i="5"/>
  <c r="BC71" i="5"/>
  <c r="AY12" i="4" s="1"/>
  <c r="AS12" i="27"/>
  <c r="AS13" i="27"/>
  <c r="AR24" i="13"/>
  <c r="AR8" i="27"/>
  <c r="AR17" i="27" s="1"/>
  <c r="AS9" i="27"/>
  <c r="AS18" i="27" s="1"/>
  <c r="AQ23" i="13"/>
  <c r="BJ61" i="5"/>
  <c r="AL10" i="22" l="1"/>
  <c r="AL14" i="13" s="1"/>
  <c r="AL15" i="13" s="1"/>
  <c r="AL19" i="13" s="1"/>
  <c r="AL10" i="14" s="1"/>
  <c r="AL11" i="14" s="1"/>
  <c r="AL15" i="14" s="1"/>
  <c r="AP58" i="9"/>
  <c r="AR27" i="3"/>
  <c r="AR33" i="3" s="1"/>
  <c r="AN79" i="9"/>
  <c r="AF17" i="14"/>
  <c r="AG12" i="14"/>
  <c r="AP11" i="13"/>
  <c r="AP10" i="10"/>
  <c r="AQ33" i="3"/>
  <c r="AJ26" i="10"/>
  <c r="AN11" i="22"/>
  <c r="AN78" i="9"/>
  <c r="AN13" i="4"/>
  <c r="AP24" i="4"/>
  <c r="AP13" i="13" s="1"/>
  <c r="AM13" i="22"/>
  <c r="AM18" i="10"/>
  <c r="AM12" i="22" s="1"/>
  <c r="AP68" i="9"/>
  <c r="AP63" i="9"/>
  <c r="AO80" i="9"/>
  <c r="AR8" i="13"/>
  <c r="AR8" i="4"/>
  <c r="AR31" i="9"/>
  <c r="AR55" i="9" s="1"/>
  <c r="AR8" i="22"/>
  <c r="AR8" i="10"/>
  <c r="AR8" i="14" s="1"/>
  <c r="AM13" i="10"/>
  <c r="AM17" i="10"/>
  <c r="AL23" i="10"/>
  <c r="AL19" i="10"/>
  <c r="AQ71" i="9"/>
  <c r="AQ62" i="9"/>
  <c r="AQ72" i="9"/>
  <c r="AQ75" i="9"/>
  <c r="AQ66" i="9"/>
  <c r="AQ76" i="9"/>
  <c r="AQ69" i="9"/>
  <c r="AQ65" i="9"/>
  <c r="AQ64" i="9"/>
  <c r="AQ67" i="9"/>
  <c r="AQ59" i="9"/>
  <c r="AQ60" i="9"/>
  <c r="AQ74" i="9"/>
  <c r="AQ70" i="9"/>
  <c r="AQ61" i="9"/>
  <c r="AF18" i="14"/>
  <c r="AG16" i="14"/>
  <c r="AP73" i="9"/>
  <c r="AO77" i="9"/>
  <c r="AO84" i="9"/>
  <c r="AO83" i="9"/>
  <c r="AO82" i="9"/>
  <c r="AS23" i="3"/>
  <c r="AS29" i="3" s="1"/>
  <c r="AS25" i="3"/>
  <c r="AS31" i="3" s="1"/>
  <c r="AS26" i="3"/>
  <c r="AS32" i="3" s="1"/>
  <c r="AS22" i="3"/>
  <c r="AS28" i="3" s="1"/>
  <c r="AS24" i="3"/>
  <c r="AS30" i="3" s="1"/>
  <c r="AR57" i="9"/>
  <c r="AR10" i="4"/>
  <c r="AK19" i="10"/>
  <c r="AK23" i="10"/>
  <c r="AH30" i="13"/>
  <c r="AI29" i="13"/>
  <c r="AQ15" i="4"/>
  <c r="AQ16" i="4"/>
  <c r="AQ19" i="4"/>
  <c r="AQ18" i="4"/>
  <c r="AQ20" i="4"/>
  <c r="AQ21" i="4"/>
  <c r="AQ23" i="4"/>
  <c r="AQ22" i="4"/>
  <c r="AQ29" i="4"/>
  <c r="AQ27" i="4"/>
  <c r="AQ28" i="4"/>
  <c r="AQ30" i="4"/>
  <c r="AQ26" i="4"/>
  <c r="AQ25" i="4"/>
  <c r="AQ32" i="4"/>
  <c r="AQ33" i="4"/>
  <c r="AQ34" i="4"/>
  <c r="AQ31" i="4"/>
  <c r="AF36" i="13"/>
  <c r="AG35" i="13" s="1"/>
  <c r="AT8" i="3"/>
  <c r="AU9" i="3"/>
  <c r="AS9" i="22"/>
  <c r="AS9" i="13"/>
  <c r="AS9" i="4"/>
  <c r="AS32" i="9"/>
  <c r="AS56" i="9" s="1"/>
  <c r="AS9" i="10"/>
  <c r="AS9" i="14" s="1"/>
  <c r="AT11" i="3"/>
  <c r="AG33" i="13"/>
  <c r="AG34" i="13" s="1"/>
  <c r="AG32" i="13"/>
  <c r="AG31" i="13"/>
  <c r="AK10" i="22"/>
  <c r="AK14" i="13" s="1"/>
  <c r="AK15" i="13" s="1"/>
  <c r="AK19" i="13" s="1"/>
  <c r="AK10" i="14" s="1"/>
  <c r="AK11" i="14" s="1"/>
  <c r="AK15" i="14" s="1"/>
  <c r="AO81" i="9"/>
  <c r="AX73" i="5"/>
  <c r="AT17" i="4" s="1"/>
  <c r="AY72" i="5"/>
  <c r="BK59" i="5"/>
  <c r="BE60" i="5"/>
  <c r="BD71" i="5"/>
  <c r="AZ12" i="4" s="1"/>
  <c r="AY22" i="10"/>
  <c r="AR23" i="13"/>
  <c r="AS8" i="27"/>
  <c r="AS17" i="27" s="1"/>
  <c r="AT9" i="27"/>
  <c r="AT18" i="27" s="1"/>
  <c r="AS24" i="13"/>
  <c r="AT13" i="27"/>
  <c r="AT12" i="27"/>
  <c r="BK61" i="5"/>
  <c r="AP82" i="9" l="1"/>
  <c r="AP84" i="9"/>
  <c r="AP83" i="9"/>
  <c r="AP81" i="9"/>
  <c r="AQ68" i="9"/>
  <c r="AP80" i="9"/>
  <c r="AQ73" i="9"/>
  <c r="AM10" i="22"/>
  <c r="AM14" i="13" s="1"/>
  <c r="AM15" i="13" s="1"/>
  <c r="AM19" i="13" s="1"/>
  <c r="AM10" i="14" s="1"/>
  <c r="AM11" i="14" s="1"/>
  <c r="AM15" i="14" s="1"/>
  <c r="AG36" i="13"/>
  <c r="AH35" i="13" s="1"/>
  <c r="AQ24" i="4"/>
  <c r="AQ11" i="13"/>
  <c r="AQ10" i="10"/>
  <c r="AS8" i="4"/>
  <c r="AS8" i="13"/>
  <c r="AS31" i="9"/>
  <c r="AS55" i="9" s="1"/>
  <c r="AS8" i="10"/>
  <c r="AS8" i="14" s="1"/>
  <c r="AS8" i="22"/>
  <c r="AK21" i="10"/>
  <c r="AK20" i="10"/>
  <c r="AL20" i="10" s="1"/>
  <c r="AM23" i="10"/>
  <c r="AM19" i="10"/>
  <c r="AM21" i="10" s="1"/>
  <c r="AO79" i="9"/>
  <c r="AN12" i="13"/>
  <c r="AU8" i="3"/>
  <c r="AU11" i="3"/>
  <c r="AV9" i="3"/>
  <c r="AT9" i="4"/>
  <c r="AT9" i="10"/>
  <c r="AT9" i="14" s="1"/>
  <c r="AT9" i="13"/>
  <c r="AT9" i="22"/>
  <c r="AT32" i="9"/>
  <c r="AT56" i="9" s="1"/>
  <c r="AR19" i="4"/>
  <c r="AR15" i="4"/>
  <c r="AR16" i="4"/>
  <c r="AR21" i="4"/>
  <c r="AR22" i="4"/>
  <c r="AR23" i="4"/>
  <c r="AR18" i="4"/>
  <c r="AR20" i="4"/>
  <c r="AR31" i="4"/>
  <c r="AR27" i="4"/>
  <c r="AR29" i="4"/>
  <c r="AR28" i="4"/>
  <c r="AR30" i="4"/>
  <c r="AR25" i="4"/>
  <c r="AR26" i="4"/>
  <c r="AR33" i="4"/>
  <c r="AR32" i="4"/>
  <c r="AR34" i="4"/>
  <c r="AR75" i="9"/>
  <c r="AR66" i="9"/>
  <c r="AR76" i="9"/>
  <c r="AR67" i="9"/>
  <c r="AR71" i="9"/>
  <c r="AR62" i="9"/>
  <c r="AR59" i="9"/>
  <c r="AR60" i="9"/>
  <c r="AR70" i="9"/>
  <c r="AR74" i="9"/>
  <c r="AR69" i="9"/>
  <c r="AR72" i="9"/>
  <c r="AR64" i="9"/>
  <c r="AR65" i="9"/>
  <c r="AR61" i="9"/>
  <c r="AT25" i="3"/>
  <c r="AT31" i="3" s="1"/>
  <c r="AT23" i="3"/>
  <c r="AT29" i="3" s="1"/>
  <c r="AT24" i="3"/>
  <c r="AT30" i="3" s="1"/>
  <c r="AT22" i="3"/>
  <c r="AT28" i="3" s="1"/>
  <c r="AT26" i="3"/>
  <c r="AT32" i="3" s="1"/>
  <c r="AS57" i="9"/>
  <c r="AS10" i="4"/>
  <c r="AQ13" i="13"/>
  <c r="AO78" i="9"/>
  <c r="AO13" i="4"/>
  <c r="AO11" i="22"/>
  <c r="AQ58" i="9"/>
  <c r="AL21" i="10"/>
  <c r="AL25" i="10"/>
  <c r="AL26" i="10" s="1"/>
  <c r="AL24" i="10"/>
  <c r="AI30" i="13"/>
  <c r="AJ29" i="13"/>
  <c r="AS27" i="3"/>
  <c r="AP77" i="9"/>
  <c r="AH12" i="14"/>
  <c r="AG17" i="14"/>
  <c r="AN14" i="4"/>
  <c r="AK25" i="10"/>
  <c r="AK24" i="10"/>
  <c r="AH33" i="13"/>
  <c r="AH34" i="13" s="1"/>
  <c r="AH32" i="13"/>
  <c r="AH31" i="13"/>
  <c r="AH16" i="14"/>
  <c r="AG18" i="14"/>
  <c r="AQ63" i="9"/>
  <c r="AY73" i="5"/>
  <c r="AU17" i="4" s="1"/>
  <c r="AZ72" i="5"/>
  <c r="BL59" i="5"/>
  <c r="AZ22" i="10"/>
  <c r="BF60" i="5"/>
  <c r="BE71" i="5"/>
  <c r="BA12" i="4" s="1"/>
  <c r="AU12" i="27"/>
  <c r="AU13" i="27"/>
  <c r="AT24" i="13"/>
  <c r="AS23" i="13"/>
  <c r="AT8" i="27"/>
  <c r="AT17" i="27" s="1"/>
  <c r="AU9" i="27"/>
  <c r="AU18" i="27" s="1"/>
  <c r="BL61" i="5"/>
  <c r="AM20" i="10" l="1"/>
  <c r="AP79" i="9"/>
  <c r="AQ84" i="9"/>
  <c r="AQ83" i="9"/>
  <c r="AR73" i="9"/>
  <c r="AQ80" i="9"/>
  <c r="AR58" i="9"/>
  <c r="AT8" i="4"/>
  <c r="AT8" i="13"/>
  <c r="AT8" i="10"/>
  <c r="AT8" i="14" s="1"/>
  <c r="AT8" i="22"/>
  <c r="AT31" i="9"/>
  <c r="AT55" i="9" s="1"/>
  <c r="AI12" i="14"/>
  <c r="AH17" i="14"/>
  <c r="AS71" i="9"/>
  <c r="AS62" i="9"/>
  <c r="AS72" i="9"/>
  <c r="AS75" i="9"/>
  <c r="AS66" i="9"/>
  <c r="AS64" i="9"/>
  <c r="AS65" i="9"/>
  <c r="AS74" i="9"/>
  <c r="AS60" i="9"/>
  <c r="AS67" i="9"/>
  <c r="AS59" i="9"/>
  <c r="AS76" i="9"/>
  <c r="AS69" i="9"/>
  <c r="AS70" i="9"/>
  <c r="AS61" i="9"/>
  <c r="AR63" i="9"/>
  <c r="AP11" i="22"/>
  <c r="AP13" i="4"/>
  <c r="AP78" i="9"/>
  <c r="AS33" i="3"/>
  <c r="AR10" i="10"/>
  <c r="AR11" i="13"/>
  <c r="AT27" i="3"/>
  <c r="AR68" i="9"/>
  <c r="AU23" i="3"/>
  <c r="AU29" i="3" s="1"/>
  <c r="AU25" i="3"/>
  <c r="AU31" i="3" s="1"/>
  <c r="AU26" i="3"/>
  <c r="AU32" i="3" s="1"/>
  <c r="AU24" i="3"/>
  <c r="AU30" i="3" s="1"/>
  <c r="AU22" i="3"/>
  <c r="AU28" i="3" s="1"/>
  <c r="AT10" i="4"/>
  <c r="AT57" i="9"/>
  <c r="AS15" i="4"/>
  <c r="AS16" i="4"/>
  <c r="AS19" i="4"/>
  <c r="AS18" i="4"/>
  <c r="AS22" i="4"/>
  <c r="AS20" i="4"/>
  <c r="AS21" i="4"/>
  <c r="AS23" i="4"/>
  <c r="AS34" i="4"/>
  <c r="AS28" i="4"/>
  <c r="AS27" i="4"/>
  <c r="AS31" i="4"/>
  <c r="AS30" i="4"/>
  <c r="AS26" i="4"/>
  <c r="AS32" i="4"/>
  <c r="AS33" i="4"/>
  <c r="AS25" i="4"/>
  <c r="AS29" i="4"/>
  <c r="AK29" i="13"/>
  <c r="AJ30" i="13"/>
  <c r="AQ77" i="9"/>
  <c r="AH18" i="14"/>
  <c r="AI16" i="14"/>
  <c r="AO12" i="13"/>
  <c r="AK26" i="10"/>
  <c r="AI33" i="13"/>
  <c r="AI34" i="13" s="1"/>
  <c r="AI31" i="13"/>
  <c r="AI32" i="13"/>
  <c r="AO14" i="4"/>
  <c r="AO11" i="4" s="1"/>
  <c r="AO35" i="4" s="1"/>
  <c r="AO11" i="10" s="1"/>
  <c r="AO12" i="10" s="1"/>
  <c r="AM25" i="10"/>
  <c r="AM26" i="10" s="1"/>
  <c r="AM24" i="10"/>
  <c r="AQ82" i="9"/>
  <c r="AN13" i="22"/>
  <c r="AN18" i="10"/>
  <c r="AN12" i="22" s="1"/>
  <c r="AH36" i="13"/>
  <c r="AI35" i="13" s="1"/>
  <c r="AR24" i="4"/>
  <c r="AR13" i="13" s="1"/>
  <c r="AN11" i="4"/>
  <c r="AN35" i="4" s="1"/>
  <c r="AN11" i="10" s="1"/>
  <c r="AN12" i="10" s="1"/>
  <c r="AV11" i="3"/>
  <c r="AV8" i="3"/>
  <c r="AW9" i="3"/>
  <c r="AU9" i="13"/>
  <c r="AU9" i="22"/>
  <c r="AU9" i="4"/>
  <c r="AU9" i="10"/>
  <c r="AU9" i="14" s="1"/>
  <c r="AU32" i="9"/>
  <c r="AU56" i="9" s="1"/>
  <c r="AQ81" i="9"/>
  <c r="AZ73" i="5"/>
  <c r="AV17" i="4" s="1"/>
  <c r="BA72" i="5"/>
  <c r="BM59" i="5"/>
  <c r="BG60" i="5"/>
  <c r="BF71" i="5"/>
  <c r="BB12" i="4" s="1"/>
  <c r="BA22" i="10"/>
  <c r="AV9" i="27"/>
  <c r="AV18" i="27" s="1"/>
  <c r="AU8" i="27"/>
  <c r="AU17" i="27" s="1"/>
  <c r="AV12" i="27"/>
  <c r="AV13" i="27"/>
  <c r="AT23" i="13"/>
  <c r="AU24" i="13"/>
  <c r="BM61" i="5"/>
  <c r="AR82" i="9" l="1"/>
  <c r="AR84" i="9"/>
  <c r="AR80" i="9"/>
  <c r="AR83" i="9"/>
  <c r="AR77" i="9"/>
  <c r="AR11" i="22" s="1"/>
  <c r="AN10" i="22"/>
  <c r="AN14" i="13" s="1"/>
  <c r="AN15" i="13" s="1"/>
  <c r="AN19" i="13" s="1"/>
  <c r="AN10" i="14" s="1"/>
  <c r="AN11" i="14" s="1"/>
  <c r="AN15" i="14" s="1"/>
  <c r="AR81" i="9"/>
  <c r="AS68" i="9"/>
  <c r="AQ79" i="9"/>
  <c r="AO13" i="22"/>
  <c r="AO18" i="10"/>
  <c r="AO12" i="22" s="1"/>
  <c r="AJ16" i="14"/>
  <c r="AI18" i="14"/>
  <c r="AS24" i="4"/>
  <c r="AS13" i="13" s="1"/>
  <c r="AS63" i="9"/>
  <c r="AI17" i="14"/>
  <c r="AJ12" i="14"/>
  <c r="AO13" i="10"/>
  <c r="AO17" i="10"/>
  <c r="AI36" i="13"/>
  <c r="AJ35" i="13" s="1"/>
  <c r="AT75" i="9"/>
  <c r="AT71" i="9"/>
  <c r="AT66" i="9"/>
  <c r="AT74" i="9"/>
  <c r="AT67" i="9"/>
  <c r="AT70" i="9"/>
  <c r="AT62" i="9"/>
  <c r="AT59" i="9"/>
  <c r="AT60" i="9"/>
  <c r="AT76" i="9"/>
  <c r="AT69" i="9"/>
  <c r="AT72" i="9"/>
  <c r="AT64" i="9"/>
  <c r="AT65" i="9"/>
  <c r="AT61" i="9"/>
  <c r="AS11" i="13"/>
  <c r="AS10" i="10"/>
  <c r="AT33" i="3"/>
  <c r="AT15" i="4"/>
  <c r="AT16" i="4"/>
  <c r="AT19" i="4"/>
  <c r="AT18" i="4"/>
  <c r="AT20" i="4"/>
  <c r="AT21" i="4"/>
  <c r="AT22" i="4"/>
  <c r="AT23" i="4"/>
  <c r="AT30" i="4"/>
  <c r="AT33" i="4"/>
  <c r="AT29" i="4"/>
  <c r="AT25" i="4"/>
  <c r="AT26" i="4"/>
  <c r="AT31" i="4"/>
  <c r="AT28" i="4"/>
  <c r="AT27" i="4"/>
  <c r="AT34" i="4"/>
  <c r="AT32" i="4"/>
  <c r="AU8" i="4"/>
  <c r="AU8" i="13"/>
  <c r="AU8" i="22"/>
  <c r="AU8" i="10"/>
  <c r="AU8" i="14" s="1"/>
  <c r="AU31" i="9"/>
  <c r="AU55" i="9" s="1"/>
  <c r="AR78" i="9"/>
  <c r="AU27" i="3"/>
  <c r="AS58" i="9"/>
  <c r="AV25" i="3"/>
  <c r="AV31" i="3" s="1"/>
  <c r="AV23" i="3"/>
  <c r="AV29" i="3" s="1"/>
  <c r="AV24" i="3"/>
  <c r="AV30" i="3" s="1"/>
  <c r="AV26" i="3"/>
  <c r="AV32" i="3" s="1"/>
  <c r="AV22" i="3"/>
  <c r="AV28" i="3" s="1"/>
  <c r="AU10" i="4"/>
  <c r="AU57" i="9"/>
  <c r="AJ33" i="13"/>
  <c r="AJ34" i="13" s="1"/>
  <c r="AJ32" i="13"/>
  <c r="AJ31" i="13"/>
  <c r="AP14" i="4"/>
  <c r="AP11" i="4" s="1"/>
  <c r="AP35" i="4" s="1"/>
  <c r="AP11" i="10" s="1"/>
  <c r="AP12" i="10" s="1"/>
  <c r="AL29" i="13"/>
  <c r="AK30" i="13"/>
  <c r="AP12" i="13"/>
  <c r="AW8" i="3"/>
  <c r="AX9" i="3"/>
  <c r="AV9" i="22"/>
  <c r="AV32" i="9"/>
  <c r="AV56" i="9" s="1"/>
  <c r="AW11" i="3"/>
  <c r="AV9" i="13"/>
  <c r="AV9" i="10"/>
  <c r="AV9" i="14" s="1"/>
  <c r="AV9" i="4"/>
  <c r="AQ13" i="4"/>
  <c r="AQ11" i="22"/>
  <c r="AQ12" i="13" s="1"/>
  <c r="AQ78" i="9"/>
  <c r="AN13" i="10"/>
  <c r="AN17" i="10"/>
  <c r="AS73" i="9"/>
  <c r="BA73" i="5"/>
  <c r="AW17" i="4" s="1"/>
  <c r="BB72" i="5"/>
  <c r="BN59" i="5"/>
  <c r="BB22" i="10"/>
  <c r="BH60" i="5"/>
  <c r="BG71" i="5"/>
  <c r="BC12" i="4" s="1"/>
  <c r="AU23" i="13"/>
  <c r="AV24" i="13"/>
  <c r="AW13" i="27"/>
  <c r="AW12" i="27"/>
  <c r="AV8" i="27"/>
  <c r="AV17" i="27" s="1"/>
  <c r="AW9" i="27"/>
  <c r="AW18" i="27" s="1"/>
  <c r="BN61" i="5"/>
  <c r="AR13" i="4" l="1"/>
  <c r="AR79" i="9"/>
  <c r="AO10" i="22"/>
  <c r="AO14" i="13" s="1"/>
  <c r="AO15" i="13" s="1"/>
  <c r="AO19" i="13" s="1"/>
  <c r="AO10" i="14" s="1"/>
  <c r="AO11" i="14" s="1"/>
  <c r="AO15" i="14" s="1"/>
  <c r="AS77" i="9"/>
  <c r="AS13" i="4" s="1"/>
  <c r="AS81" i="9"/>
  <c r="AT58" i="9"/>
  <c r="AS84" i="9"/>
  <c r="AW23" i="3"/>
  <c r="AW29" i="3" s="1"/>
  <c r="AW25" i="3"/>
  <c r="AW31" i="3" s="1"/>
  <c r="AW22" i="3"/>
  <c r="AW28" i="3" s="1"/>
  <c r="AW24" i="3"/>
  <c r="AW30" i="3" s="1"/>
  <c r="AW26" i="3"/>
  <c r="AW32" i="3" s="1"/>
  <c r="AV10" i="4"/>
  <c r="AV57" i="9"/>
  <c r="AU15" i="4"/>
  <c r="AU16" i="4"/>
  <c r="AU19" i="4"/>
  <c r="AU22" i="4"/>
  <c r="AU20" i="4"/>
  <c r="AU18" i="4"/>
  <c r="AU23" i="4"/>
  <c r="AU21" i="4"/>
  <c r="AU30" i="4"/>
  <c r="AU27" i="4"/>
  <c r="AU33" i="4"/>
  <c r="AU25" i="4"/>
  <c r="AU26" i="4"/>
  <c r="AU28" i="4"/>
  <c r="AU31" i="4"/>
  <c r="AU29" i="4"/>
  <c r="AU34" i="4"/>
  <c r="AU32" i="4"/>
  <c r="AP13" i="10"/>
  <c r="AP17" i="10"/>
  <c r="AV27" i="3"/>
  <c r="AR14" i="4"/>
  <c r="AS82" i="9"/>
  <c r="AM29" i="13"/>
  <c r="AL30" i="13"/>
  <c r="AU33" i="3"/>
  <c r="AT10" i="10"/>
  <c r="AT11" i="13"/>
  <c r="AP13" i="22"/>
  <c r="AP18" i="10"/>
  <c r="AP12" i="22" s="1"/>
  <c r="AS80" i="9"/>
  <c r="AJ36" i="13"/>
  <c r="AK35" i="13" s="1"/>
  <c r="AV8" i="13"/>
  <c r="AV8" i="4"/>
  <c r="AV8" i="10"/>
  <c r="AV8" i="14" s="1"/>
  <c r="AV8" i="22"/>
  <c r="AV31" i="9"/>
  <c r="AV55" i="9" s="1"/>
  <c r="AS11" i="22"/>
  <c r="AS83" i="9"/>
  <c r="AT63" i="9"/>
  <c r="AJ17" i="14"/>
  <c r="AK12" i="14"/>
  <c r="AX8" i="3"/>
  <c r="AY9" i="3"/>
  <c r="AX11" i="3"/>
  <c r="AW9" i="10"/>
  <c r="AW9" i="14" s="1"/>
  <c r="AW9" i="4"/>
  <c r="AW32" i="9"/>
  <c r="AW56" i="9" s="1"/>
  <c r="AW9" i="13"/>
  <c r="AW9" i="22"/>
  <c r="AR12" i="13"/>
  <c r="AO23" i="10"/>
  <c r="AO19" i="10"/>
  <c r="AT73" i="9"/>
  <c r="AJ18" i="14"/>
  <c r="AK16" i="14"/>
  <c r="AQ14" i="4"/>
  <c r="AQ11" i="4" s="1"/>
  <c r="AQ35" i="4" s="1"/>
  <c r="AQ11" i="10" s="1"/>
  <c r="AQ12" i="10" s="1"/>
  <c r="AN19" i="10"/>
  <c r="AN23" i="10"/>
  <c r="AK33" i="13"/>
  <c r="AK34" i="13" s="1"/>
  <c r="AK31" i="13"/>
  <c r="AK32" i="13"/>
  <c r="AU71" i="9"/>
  <c r="AU62" i="9"/>
  <c r="AU72" i="9"/>
  <c r="AU75" i="9"/>
  <c r="AU66" i="9"/>
  <c r="AU64" i="9"/>
  <c r="AU65" i="9"/>
  <c r="AU67" i="9"/>
  <c r="AU59" i="9"/>
  <c r="AU74" i="9"/>
  <c r="AU60" i="9"/>
  <c r="AU76" i="9"/>
  <c r="AU70" i="9"/>
  <c r="AU69" i="9"/>
  <c r="AU61" i="9"/>
  <c r="AT24" i="4"/>
  <c r="AT13" i="13" s="1"/>
  <c r="AT68" i="9"/>
  <c r="BB73" i="5"/>
  <c r="AX17" i="4" s="1"/>
  <c r="BC72" i="5"/>
  <c r="BO59" i="5"/>
  <c r="BC22" i="10"/>
  <c r="BI60" i="5"/>
  <c r="BH71" i="5"/>
  <c r="BD12" i="4" s="1"/>
  <c r="AX13" i="27"/>
  <c r="AX12" i="27"/>
  <c r="AV23" i="13"/>
  <c r="AW8" i="27"/>
  <c r="AW17" i="27" s="1"/>
  <c r="AX9" i="27"/>
  <c r="AX18" i="27" s="1"/>
  <c r="AW24" i="13"/>
  <c r="BO61" i="5"/>
  <c r="AT83" i="9" l="1"/>
  <c r="AS78" i="9"/>
  <c r="AT81" i="9"/>
  <c r="AT84" i="9"/>
  <c r="AT80" i="9"/>
  <c r="AU73" i="9"/>
  <c r="AU58" i="9"/>
  <c r="AS79" i="9"/>
  <c r="AU63" i="9"/>
  <c r="AP10" i="22"/>
  <c r="AP14" i="13" s="1"/>
  <c r="AP15" i="13" s="1"/>
  <c r="AP19" i="13" s="1"/>
  <c r="AP10" i="14" s="1"/>
  <c r="AP11" i="14" s="1"/>
  <c r="AP15" i="14" s="1"/>
  <c r="AW27" i="3"/>
  <c r="AW33" i="3" s="1"/>
  <c r="AQ13" i="10"/>
  <c r="AQ17" i="10"/>
  <c r="AK18" i="14"/>
  <c r="AL16" i="14"/>
  <c r="AW8" i="13"/>
  <c r="AW8" i="4"/>
  <c r="AW8" i="22"/>
  <c r="AW8" i="10"/>
  <c r="AW8" i="14" s="1"/>
  <c r="AW31" i="9"/>
  <c r="AW55" i="9" s="1"/>
  <c r="AU11" i="13"/>
  <c r="AV33" i="3"/>
  <c r="AU10" i="10"/>
  <c r="AZ9" i="3"/>
  <c r="AY8" i="3"/>
  <c r="AY11" i="3"/>
  <c r="AX9" i="13"/>
  <c r="AX32" i="9"/>
  <c r="AX56" i="9" s="1"/>
  <c r="AX9" i="22"/>
  <c r="AX9" i="10"/>
  <c r="AX9" i="14" s="1"/>
  <c r="AX9" i="4"/>
  <c r="AS12" i="13"/>
  <c r="AR13" i="22"/>
  <c r="AR18" i="10"/>
  <c r="AR12" i="22" s="1"/>
  <c r="AV19" i="4"/>
  <c r="AV15" i="4"/>
  <c r="AV16" i="4"/>
  <c r="AV18" i="4"/>
  <c r="AV20" i="4"/>
  <c r="AV23" i="4"/>
  <c r="AV21" i="4"/>
  <c r="AV22" i="4"/>
  <c r="AV28" i="4"/>
  <c r="AV27" i="4"/>
  <c r="AV31" i="4"/>
  <c r="AV30" i="4"/>
  <c r="AV33" i="4"/>
  <c r="AV32" i="4"/>
  <c r="AV25" i="4"/>
  <c r="AV26" i="4"/>
  <c r="AV34" i="4"/>
  <c r="AV29" i="4"/>
  <c r="AT77" i="9"/>
  <c r="AL12" i="14"/>
  <c r="AK17" i="14"/>
  <c r="AT82" i="9"/>
  <c r="AP23" i="10"/>
  <c r="AP19" i="10"/>
  <c r="AU68" i="9"/>
  <c r="AN25" i="10"/>
  <c r="AN26" i="10" s="1"/>
  <c r="AN24" i="10"/>
  <c r="AM30" i="13"/>
  <c r="AN29" i="13"/>
  <c r="AU24" i="4"/>
  <c r="AU13" i="13" s="1"/>
  <c r="AN21" i="10"/>
  <c r="AN20" i="10"/>
  <c r="AO20" i="10" s="1"/>
  <c r="AL33" i="13"/>
  <c r="AL34" i="13" s="1"/>
  <c r="AL31" i="13"/>
  <c r="AL32" i="13"/>
  <c r="AO21" i="10"/>
  <c r="AK36" i="13"/>
  <c r="AL35" i="13" s="1"/>
  <c r="AQ13" i="22"/>
  <c r="AQ18" i="10"/>
  <c r="AQ12" i="22" s="1"/>
  <c r="AO25" i="10"/>
  <c r="AO24" i="10"/>
  <c r="AX25" i="3"/>
  <c r="AX31" i="3" s="1"/>
  <c r="AX26" i="3"/>
  <c r="AX32" i="3" s="1"/>
  <c r="AX22" i="3"/>
  <c r="AX28" i="3" s="1"/>
  <c r="AX23" i="3"/>
  <c r="AX29" i="3" s="1"/>
  <c r="AX24" i="3"/>
  <c r="AX30" i="3" s="1"/>
  <c r="AW10" i="4"/>
  <c r="AW57" i="9"/>
  <c r="AS14" i="4"/>
  <c r="AS11" i="4" s="1"/>
  <c r="AS35" i="4" s="1"/>
  <c r="AS11" i="10" s="1"/>
  <c r="AS12" i="10" s="1"/>
  <c r="AR11" i="4"/>
  <c r="AR35" i="4" s="1"/>
  <c r="AR11" i="10" s="1"/>
  <c r="AR12" i="10" s="1"/>
  <c r="AV75" i="9"/>
  <c r="AV66" i="9"/>
  <c r="AV76" i="9"/>
  <c r="AV67" i="9"/>
  <c r="AV71" i="9"/>
  <c r="AV61" i="9"/>
  <c r="AV69" i="9"/>
  <c r="AV70" i="9"/>
  <c r="AV72" i="9"/>
  <c r="AV64" i="9"/>
  <c r="AV65" i="9"/>
  <c r="AV59" i="9"/>
  <c r="AV74" i="9"/>
  <c r="AV60" i="9"/>
  <c r="AV62" i="9"/>
  <c r="BC73" i="5"/>
  <c r="AY17" i="4" s="1"/>
  <c r="BD72" i="5"/>
  <c r="BP59" i="5"/>
  <c r="BD22" i="10"/>
  <c r="BJ60" i="5"/>
  <c r="BI71" i="5"/>
  <c r="BE12" i="4" s="1"/>
  <c r="AW23" i="13"/>
  <c r="AX8" i="27"/>
  <c r="AX17" i="27" s="1"/>
  <c r="AY9" i="27"/>
  <c r="AY18" i="27" s="1"/>
  <c r="AY13" i="27"/>
  <c r="AY12" i="27"/>
  <c r="AX24" i="13"/>
  <c r="BP61" i="5"/>
  <c r="AO26" i="10" l="1"/>
  <c r="AR10" i="22"/>
  <c r="AR14" i="13" s="1"/>
  <c r="AR15" i="13" s="1"/>
  <c r="AR19" i="13" s="1"/>
  <c r="AR10" i="14" s="1"/>
  <c r="AR11" i="14" s="1"/>
  <c r="AR15" i="14" s="1"/>
  <c r="AT79" i="9"/>
  <c r="AV10" i="10"/>
  <c r="AV11" i="13"/>
  <c r="AU83" i="9"/>
  <c r="AQ10" i="22"/>
  <c r="AQ14" i="13" s="1"/>
  <c r="AQ15" i="13" s="1"/>
  <c r="AQ19" i="13" s="1"/>
  <c r="AQ10" i="14" s="1"/>
  <c r="AQ11" i="14" s="1"/>
  <c r="AQ15" i="14" s="1"/>
  <c r="AU80" i="9"/>
  <c r="AU84" i="9"/>
  <c r="AU82" i="9"/>
  <c r="AV73" i="9"/>
  <c r="AU77" i="9"/>
  <c r="AU11" i="22" s="1"/>
  <c r="AU81" i="9"/>
  <c r="AL36" i="13"/>
  <c r="AM35" i="13" s="1"/>
  <c r="AV63" i="9"/>
  <c r="AV68" i="9"/>
  <c r="AX27" i="3"/>
  <c r="AP25" i="10"/>
  <c r="AP26" i="10" s="1"/>
  <c r="AP24" i="10"/>
  <c r="AV24" i="4"/>
  <c r="AV13" i="13" s="1"/>
  <c r="AY23" i="3"/>
  <c r="AY29" i="3" s="1"/>
  <c r="AY24" i="3"/>
  <c r="AY30" i="3" s="1"/>
  <c r="AY25" i="3"/>
  <c r="AY31" i="3" s="1"/>
  <c r="AY26" i="3"/>
  <c r="AY32" i="3" s="1"/>
  <c r="AY22" i="3"/>
  <c r="AY28" i="3" s="1"/>
  <c r="AX57" i="9"/>
  <c r="AX10" i="4"/>
  <c r="AX8" i="13"/>
  <c r="AX8" i="4"/>
  <c r="AX8" i="10"/>
  <c r="AX8" i="14" s="1"/>
  <c r="AX31" i="9"/>
  <c r="AX55" i="9" s="1"/>
  <c r="AX8" i="22"/>
  <c r="AS13" i="10"/>
  <c r="AS17" i="10"/>
  <c r="AN30" i="13"/>
  <c r="AO29" i="13"/>
  <c r="AV58" i="9"/>
  <c r="AS13" i="22"/>
  <c r="AS18" i="10"/>
  <c r="AS12" i="22" s="1"/>
  <c r="AM33" i="13"/>
  <c r="AM34" i="13" s="1"/>
  <c r="AM31" i="13"/>
  <c r="AM32" i="13"/>
  <c r="AL17" i="14"/>
  <c r="AM12" i="14"/>
  <c r="AM16" i="14"/>
  <c r="AL18" i="14"/>
  <c r="AW70" i="9"/>
  <c r="AW60" i="9"/>
  <c r="AW71" i="9"/>
  <c r="AW62" i="9"/>
  <c r="AW74" i="9"/>
  <c r="AW65" i="9"/>
  <c r="AW67" i="9"/>
  <c r="AW59" i="9"/>
  <c r="AW75" i="9"/>
  <c r="AW76" i="9"/>
  <c r="AW69" i="9"/>
  <c r="AW72" i="9"/>
  <c r="AW64" i="9"/>
  <c r="AW66" i="9"/>
  <c r="AW61" i="9"/>
  <c r="AT78" i="9"/>
  <c r="AT11" i="22"/>
  <c r="AT13" i="4"/>
  <c r="AR13" i="10"/>
  <c r="AR17" i="10"/>
  <c r="AP20" i="10"/>
  <c r="AP21" i="10"/>
  <c r="AQ19" i="10"/>
  <c r="AQ21" i="10" s="1"/>
  <c r="AQ23" i="10"/>
  <c r="BA9" i="3"/>
  <c r="AZ8" i="3"/>
  <c r="AZ11" i="3"/>
  <c r="AY9" i="13"/>
  <c r="AY32" i="9"/>
  <c r="AY56" i="9" s="1"/>
  <c r="AY9" i="4"/>
  <c r="AY9" i="22"/>
  <c r="AY9" i="10"/>
  <c r="AY9" i="14" s="1"/>
  <c r="AW19" i="4"/>
  <c r="AW15" i="4"/>
  <c r="AW16" i="4"/>
  <c r="AW20" i="4"/>
  <c r="AW18" i="4"/>
  <c r="AW22" i="4"/>
  <c r="AW23" i="4"/>
  <c r="AW21" i="4"/>
  <c r="AW32" i="4"/>
  <c r="AW33" i="4"/>
  <c r="AW27" i="4"/>
  <c r="AW26" i="4"/>
  <c r="AW25" i="4"/>
  <c r="AW28" i="4"/>
  <c r="AW31" i="4"/>
  <c r="AW34" i="4"/>
  <c r="AW29" i="4"/>
  <c r="AW30" i="4"/>
  <c r="BD73" i="5"/>
  <c r="AZ17" i="4" s="1"/>
  <c r="BE72" i="5"/>
  <c r="BQ59" i="5"/>
  <c r="BE22" i="10"/>
  <c r="BK60" i="5"/>
  <c r="BJ71" i="5"/>
  <c r="BF12" i="4" s="1"/>
  <c r="AZ9" i="27"/>
  <c r="AZ18" i="27" s="1"/>
  <c r="AY8" i="27"/>
  <c r="AY17" i="27" s="1"/>
  <c r="AY24" i="13"/>
  <c r="AX23" i="13"/>
  <c r="AZ12" i="27"/>
  <c r="AZ13" i="27"/>
  <c r="BQ61" i="5"/>
  <c r="AU79" i="9" l="1"/>
  <c r="AU78" i="9"/>
  <c r="AS10" i="22"/>
  <c r="AS14" i="13" s="1"/>
  <c r="AS15" i="13" s="1"/>
  <c r="AS19" i="13" s="1"/>
  <c r="AS10" i="14" s="1"/>
  <c r="AS11" i="14" s="1"/>
  <c r="AS15" i="14" s="1"/>
  <c r="AU13" i="4"/>
  <c r="AU14" i="4" s="1"/>
  <c r="AV83" i="9"/>
  <c r="AW68" i="9"/>
  <c r="AV84" i="9"/>
  <c r="AV77" i="9"/>
  <c r="AV13" i="4" s="1"/>
  <c r="AM36" i="13"/>
  <c r="AN35" i="13" s="1"/>
  <c r="AW63" i="9"/>
  <c r="AW73" i="9"/>
  <c r="AY27" i="3"/>
  <c r="AX10" i="10" s="1"/>
  <c r="AQ20" i="10"/>
  <c r="BB9" i="3"/>
  <c r="BA11" i="3"/>
  <c r="BA8" i="3"/>
  <c r="AZ9" i="22"/>
  <c r="AZ9" i="10"/>
  <c r="AZ9" i="14" s="1"/>
  <c r="AZ9" i="13"/>
  <c r="AZ9" i="4"/>
  <c r="AZ32" i="9"/>
  <c r="AZ56" i="9" s="1"/>
  <c r="AR23" i="10"/>
  <c r="AR19" i="10"/>
  <c r="AR21" i="10" s="1"/>
  <c r="AS19" i="10"/>
  <c r="AS21" i="10" s="1"/>
  <c r="AS23" i="10"/>
  <c r="AX19" i="4"/>
  <c r="AX15" i="4"/>
  <c r="AX16" i="4"/>
  <c r="AX23" i="4"/>
  <c r="AX21" i="4"/>
  <c r="AX18" i="4"/>
  <c r="AX20" i="4"/>
  <c r="AX22" i="4"/>
  <c r="AX33" i="4"/>
  <c r="AX25" i="4"/>
  <c r="AX28" i="4"/>
  <c r="AX27" i="4"/>
  <c r="AX31" i="4"/>
  <c r="AX26" i="4"/>
  <c r="AX32" i="4"/>
  <c r="AX29" i="4"/>
  <c r="AX30" i="4"/>
  <c r="AX34" i="4"/>
  <c r="AN33" i="13"/>
  <c r="AN34" i="13" s="1"/>
  <c r="AN32" i="13"/>
  <c r="AN31" i="13"/>
  <c r="AQ25" i="10"/>
  <c r="AQ24" i="10"/>
  <c r="AX74" i="9"/>
  <c r="AX65" i="9"/>
  <c r="AX75" i="9"/>
  <c r="AX66" i="9"/>
  <c r="AX70" i="9"/>
  <c r="AX60" i="9"/>
  <c r="AX64" i="9"/>
  <c r="AX67" i="9"/>
  <c r="AX59" i="9"/>
  <c r="AX62" i="9"/>
  <c r="AX76" i="9"/>
  <c r="AX69" i="9"/>
  <c r="AX72" i="9"/>
  <c r="AX71" i="9"/>
  <c r="AX61" i="9"/>
  <c r="AU12" i="13"/>
  <c r="AT12" i="13"/>
  <c r="AW11" i="13"/>
  <c r="AX33" i="3"/>
  <c r="AW10" i="10"/>
  <c r="AW24" i="4"/>
  <c r="AW13" i="13" s="1"/>
  <c r="AV81" i="9"/>
  <c r="AY8" i="13"/>
  <c r="AY8" i="4"/>
  <c r="AY8" i="10"/>
  <c r="AY8" i="14" s="1"/>
  <c r="AY31" i="9"/>
  <c r="AY55" i="9" s="1"/>
  <c r="AY8" i="22"/>
  <c r="AW58" i="9"/>
  <c r="AM18" i="14"/>
  <c r="AN16" i="14"/>
  <c r="AM17" i="14"/>
  <c r="AN12" i="14"/>
  <c r="AV80" i="9"/>
  <c r="AT14" i="4"/>
  <c r="AT11" i="4" s="1"/>
  <c r="AT35" i="4" s="1"/>
  <c r="AT11" i="10" s="1"/>
  <c r="AT12" i="10" s="1"/>
  <c r="AZ25" i="3"/>
  <c r="AZ31" i="3" s="1"/>
  <c r="AZ22" i="3"/>
  <c r="AZ28" i="3" s="1"/>
  <c r="AZ23" i="3"/>
  <c r="AZ29" i="3" s="1"/>
  <c r="AZ24" i="3"/>
  <c r="AZ30" i="3" s="1"/>
  <c r="AZ26" i="3"/>
  <c r="AZ32" i="3" s="1"/>
  <c r="AY10" i="4"/>
  <c r="AY57" i="9"/>
  <c r="AO30" i="13"/>
  <c r="AP29" i="13"/>
  <c r="AV82" i="9"/>
  <c r="BE73" i="5"/>
  <c r="BA17" i="4" s="1"/>
  <c r="BF72" i="5"/>
  <c r="BR59" i="5"/>
  <c r="BF22" i="10"/>
  <c r="BL60" i="5"/>
  <c r="BK71" i="5"/>
  <c r="BG12" i="4" s="1"/>
  <c r="AY23" i="13"/>
  <c r="AZ24" i="13"/>
  <c r="BA12" i="27"/>
  <c r="BA13" i="27"/>
  <c r="AZ8" i="27"/>
  <c r="AZ17" i="27" s="1"/>
  <c r="BA9" i="27"/>
  <c r="BA18" i="27" s="1"/>
  <c r="BR61" i="5"/>
  <c r="AQ26" i="10" l="1"/>
  <c r="AV78" i="9"/>
  <c r="AW77" i="9"/>
  <c r="AW11" i="22" s="1"/>
  <c r="AW12" i="13" s="1"/>
  <c r="AV11" i="22"/>
  <c r="AV12" i="13" s="1"/>
  <c r="AU11" i="4"/>
  <c r="AU35" i="4" s="1"/>
  <c r="AU11" i="10" s="1"/>
  <c r="AU12" i="10" s="1"/>
  <c r="AU13" i="10" s="1"/>
  <c r="AY33" i="3"/>
  <c r="AX11" i="13"/>
  <c r="AW82" i="9"/>
  <c r="AW84" i="9"/>
  <c r="AX58" i="9"/>
  <c r="AX73" i="9"/>
  <c r="AR20" i="10"/>
  <c r="AS20" i="10" s="1"/>
  <c r="AT13" i="10"/>
  <c r="AT17" i="10"/>
  <c r="AO33" i="13"/>
  <c r="AO34" i="13" s="1"/>
  <c r="AO32" i="13"/>
  <c r="AO31" i="13"/>
  <c r="AW80" i="9"/>
  <c r="AX63" i="9"/>
  <c r="AU13" i="22"/>
  <c r="AU18" i="10"/>
  <c r="AU12" i="22" s="1"/>
  <c r="AS24" i="10"/>
  <c r="AS25" i="10"/>
  <c r="AS26" i="10" s="1"/>
  <c r="AQ29" i="13"/>
  <c r="AP30" i="13"/>
  <c r="AY70" i="9"/>
  <c r="AY60" i="9"/>
  <c r="AY71" i="9"/>
  <c r="AY62" i="9"/>
  <c r="AY74" i="9"/>
  <c r="AY65" i="9"/>
  <c r="AY69" i="9"/>
  <c r="AY72" i="9"/>
  <c r="AY64" i="9"/>
  <c r="AY66" i="9"/>
  <c r="AY67" i="9"/>
  <c r="AY59" i="9"/>
  <c r="AY75" i="9"/>
  <c r="AY76" i="9"/>
  <c r="AY61" i="9"/>
  <c r="AT13" i="22"/>
  <c r="AT18" i="10"/>
  <c r="AT12" i="22" s="1"/>
  <c r="AW83" i="9"/>
  <c r="AZ8" i="13"/>
  <c r="AZ8" i="4"/>
  <c r="AZ8" i="22"/>
  <c r="AZ31" i="9"/>
  <c r="AZ55" i="9" s="1"/>
  <c r="AZ8" i="10"/>
  <c r="AZ8" i="14" s="1"/>
  <c r="AY19" i="4"/>
  <c r="AY15" i="4"/>
  <c r="AY16" i="4"/>
  <c r="AY18" i="4"/>
  <c r="AY20" i="4"/>
  <c r="AY21" i="4"/>
  <c r="AY23" i="4"/>
  <c r="AY22" i="4"/>
  <c r="AY33" i="4"/>
  <c r="AY25" i="4"/>
  <c r="AY31" i="4"/>
  <c r="AY29" i="4"/>
  <c r="AY30" i="4"/>
  <c r="AY34" i="4"/>
  <c r="AY27" i="4"/>
  <c r="AY32" i="4"/>
  <c r="AY26" i="4"/>
  <c r="AY28" i="4"/>
  <c r="AV79" i="9"/>
  <c r="AX68" i="9"/>
  <c r="AR25" i="10"/>
  <c r="AR26" i="10" s="1"/>
  <c r="AR24" i="10"/>
  <c r="BC9" i="3"/>
  <c r="BA9" i="13"/>
  <c r="BB8" i="3"/>
  <c r="BA9" i="22"/>
  <c r="BA32" i="9"/>
  <c r="BA56" i="9" s="1"/>
  <c r="BB11" i="3"/>
  <c r="BA9" i="4"/>
  <c r="BA9" i="10"/>
  <c r="BA9" i="14" s="1"/>
  <c r="AN17" i="14"/>
  <c r="AO12" i="14"/>
  <c r="AN36" i="13"/>
  <c r="AO35" i="13" s="1"/>
  <c r="BA23" i="3"/>
  <c r="BA29" i="3" s="1"/>
  <c r="BA22" i="3"/>
  <c r="BA28" i="3" s="1"/>
  <c r="BA24" i="3"/>
  <c r="BA30" i="3" s="1"/>
  <c r="BA25" i="3"/>
  <c r="BA31" i="3" s="1"/>
  <c r="BA26" i="3"/>
  <c r="BA32" i="3" s="1"/>
  <c r="AZ57" i="9"/>
  <c r="AZ10" i="4"/>
  <c r="AV14" i="4"/>
  <c r="AV11" i="4" s="1"/>
  <c r="AV35" i="4" s="1"/>
  <c r="AV11" i="10" s="1"/>
  <c r="AV12" i="10" s="1"/>
  <c r="AW81" i="9"/>
  <c r="AZ27" i="3"/>
  <c r="AN18" i="14"/>
  <c r="AO16" i="14"/>
  <c r="AX24" i="4"/>
  <c r="AX13" i="13" s="1"/>
  <c r="BF73" i="5"/>
  <c r="BB17" i="4" s="1"/>
  <c r="BG72" i="5"/>
  <c r="BS59" i="5"/>
  <c r="BG22" i="10"/>
  <c r="BM60" i="5"/>
  <c r="BL71" i="5"/>
  <c r="BH12" i="4" s="1"/>
  <c r="BA24" i="13"/>
  <c r="BB13" i="27"/>
  <c r="BB12" i="27"/>
  <c r="BA8" i="27"/>
  <c r="BA17" i="27" s="1"/>
  <c r="BB9" i="27"/>
  <c r="BB18" i="27" s="1"/>
  <c r="AZ23" i="13"/>
  <c r="BS61" i="5"/>
  <c r="AW78" i="9" l="1"/>
  <c r="AW13" i="4"/>
  <c r="AU17" i="10"/>
  <c r="AU19" i="10" s="1"/>
  <c r="AU21" i="10" s="1"/>
  <c r="AX81" i="9"/>
  <c r="AO36" i="13"/>
  <c r="AP35" i="13" s="1"/>
  <c r="AX77" i="9"/>
  <c r="AX78" i="9" s="1"/>
  <c r="AX80" i="9"/>
  <c r="AT10" i="22"/>
  <c r="AT14" i="13" s="1"/>
  <c r="AT15" i="13" s="1"/>
  <c r="AT19" i="13" s="1"/>
  <c r="AT10" i="14" s="1"/>
  <c r="AT11" i="14" s="1"/>
  <c r="AT15" i="14" s="1"/>
  <c r="AY68" i="9"/>
  <c r="AX82" i="9"/>
  <c r="AX84" i="9"/>
  <c r="AX83" i="9"/>
  <c r="BA27" i="3"/>
  <c r="AZ11" i="13" s="1"/>
  <c r="AV13" i="10"/>
  <c r="AV17" i="10"/>
  <c r="AY24" i="4"/>
  <c r="AY13" i="13" s="1"/>
  <c r="AY63" i="9"/>
  <c r="AT23" i="10"/>
  <c r="AT19" i="10"/>
  <c r="AV13" i="22"/>
  <c r="AV18" i="10"/>
  <c r="AV12" i="22" s="1"/>
  <c r="BB25" i="3"/>
  <c r="BB31" i="3" s="1"/>
  <c r="BB26" i="3"/>
  <c r="BB32" i="3" s="1"/>
  <c r="BB22" i="3"/>
  <c r="BB28" i="3" s="1"/>
  <c r="BB23" i="3"/>
  <c r="BB29" i="3" s="1"/>
  <c r="BB24" i="3"/>
  <c r="BB30" i="3" s="1"/>
  <c r="BA10" i="4"/>
  <c r="BA57" i="9"/>
  <c r="AW79" i="9"/>
  <c r="AP16" i="14"/>
  <c r="AO18" i="14"/>
  <c r="AZ74" i="9"/>
  <c r="AZ65" i="9"/>
  <c r="AZ75" i="9"/>
  <c r="AZ66" i="9"/>
  <c r="AZ70" i="9"/>
  <c r="AZ60" i="9"/>
  <c r="AZ76" i="9"/>
  <c r="AZ69" i="9"/>
  <c r="AZ71" i="9"/>
  <c r="AZ72" i="9"/>
  <c r="AZ64" i="9"/>
  <c r="AZ67" i="9"/>
  <c r="AZ59" i="9"/>
  <c r="AZ62" i="9"/>
  <c r="AZ61" i="9"/>
  <c r="AQ30" i="13"/>
  <c r="AR29" i="13"/>
  <c r="BA8" i="13"/>
  <c r="BA31" i="9"/>
  <c r="BA55" i="9" s="1"/>
  <c r="BA8" i="22"/>
  <c r="BA8" i="10"/>
  <c r="BA8" i="14" s="1"/>
  <c r="BA8" i="4"/>
  <c r="AY73" i="9"/>
  <c r="BA33" i="3"/>
  <c r="AZ33" i="3"/>
  <c r="AY10" i="10"/>
  <c r="AY11" i="13"/>
  <c r="AO17" i="14"/>
  <c r="AP12" i="14"/>
  <c r="AY58" i="9"/>
  <c r="AW14" i="4"/>
  <c r="AW11" i="4" s="1"/>
  <c r="AW35" i="4" s="1"/>
  <c r="AW11" i="10" s="1"/>
  <c r="AW12" i="10" s="1"/>
  <c r="AZ19" i="4"/>
  <c r="AZ15" i="4"/>
  <c r="AZ16" i="4"/>
  <c r="AZ21" i="4"/>
  <c r="AZ23" i="4"/>
  <c r="AZ18" i="4"/>
  <c r="AZ20" i="4"/>
  <c r="AZ22" i="4"/>
  <c r="AZ28" i="4"/>
  <c r="AZ27" i="4"/>
  <c r="AZ26" i="4"/>
  <c r="AZ29" i="4"/>
  <c r="AZ25" i="4"/>
  <c r="AZ33" i="4"/>
  <c r="AZ30" i="4"/>
  <c r="AZ32" i="4"/>
  <c r="AZ31" i="4"/>
  <c r="AZ34" i="4"/>
  <c r="AP33" i="13"/>
  <c r="AP34" i="13" s="1"/>
  <c r="AP31" i="13"/>
  <c r="AP32" i="13"/>
  <c r="BC8" i="3"/>
  <c r="BD9" i="3"/>
  <c r="BC11" i="3"/>
  <c r="BB9" i="13"/>
  <c r="BB9" i="22"/>
  <c r="BB9" i="4"/>
  <c r="BB32" i="9"/>
  <c r="BB56" i="9" s="1"/>
  <c r="BB9" i="10"/>
  <c r="BB9" i="14" s="1"/>
  <c r="AU10" i="22"/>
  <c r="AU14" i="13" s="1"/>
  <c r="AU15" i="13" s="1"/>
  <c r="AU19" i="13" s="1"/>
  <c r="AU10" i="14" s="1"/>
  <c r="AU11" i="14" s="1"/>
  <c r="AU15" i="14" s="1"/>
  <c r="BG73" i="5"/>
  <c r="BC17" i="4" s="1"/>
  <c r="BH72" i="5"/>
  <c r="BT59" i="5"/>
  <c r="BN60" i="5"/>
  <c r="BM71" i="5"/>
  <c r="BI12" i="4" s="1"/>
  <c r="BH22" i="10"/>
  <c r="BB8" i="27"/>
  <c r="BB17" i="27" s="1"/>
  <c r="BC9" i="27"/>
  <c r="BC18" i="27" s="1"/>
  <c r="BA23" i="13"/>
  <c r="BC13" i="27"/>
  <c r="BC12" i="27"/>
  <c r="BB24" i="13"/>
  <c r="BT61" i="5"/>
  <c r="AZ10" i="10" l="1"/>
  <c r="AY84" i="9"/>
  <c r="AU23" i="10"/>
  <c r="AU24" i="10" s="1"/>
  <c r="AV10" i="22"/>
  <c r="AV14" i="13" s="1"/>
  <c r="AV15" i="13" s="1"/>
  <c r="AV19" i="13" s="1"/>
  <c r="AV10" i="14" s="1"/>
  <c r="AV11" i="14" s="1"/>
  <c r="AV15" i="14" s="1"/>
  <c r="AY82" i="9"/>
  <c r="AX11" i="22"/>
  <c r="AX12" i="13" s="1"/>
  <c r="AX13" i="4"/>
  <c r="AX14" i="4" s="1"/>
  <c r="AX11" i="4" s="1"/>
  <c r="AX35" i="4" s="1"/>
  <c r="AX11" i="10" s="1"/>
  <c r="AX12" i="10" s="1"/>
  <c r="AX79" i="9"/>
  <c r="AZ63" i="9"/>
  <c r="AY81" i="9"/>
  <c r="AW13" i="10"/>
  <c r="AW17" i="10"/>
  <c r="AZ24" i="4"/>
  <c r="AZ13" i="13" s="1"/>
  <c r="AZ58" i="9"/>
  <c r="AT25" i="10"/>
  <c r="AT24" i="10"/>
  <c r="AY83" i="9"/>
  <c r="BA70" i="9"/>
  <c r="BA60" i="9"/>
  <c r="BA74" i="9"/>
  <c r="BA65" i="9"/>
  <c r="BA66" i="9"/>
  <c r="BA67" i="9"/>
  <c r="BA75" i="9"/>
  <c r="BA59" i="9"/>
  <c r="BA76" i="9"/>
  <c r="BA62" i="9"/>
  <c r="BA69" i="9"/>
  <c r="BA71" i="9"/>
  <c r="BA64" i="9"/>
  <c r="BA72" i="9"/>
  <c r="BA61" i="9"/>
  <c r="AP36" i="13"/>
  <c r="AQ35" i="13" s="1"/>
  <c r="AR30" i="13"/>
  <c r="AS29" i="13"/>
  <c r="AZ73" i="9"/>
  <c r="AV23" i="10"/>
  <c r="AV19" i="10"/>
  <c r="AV21" i="10" s="1"/>
  <c r="BB8" i="4"/>
  <c r="BB8" i="13"/>
  <c r="BB8" i="10"/>
  <c r="BB8" i="14" s="1"/>
  <c r="BB8" i="22"/>
  <c r="BB31" i="9"/>
  <c r="BB55" i="9" s="1"/>
  <c r="BC22" i="3"/>
  <c r="BC28" i="3" s="1"/>
  <c r="BC23" i="3"/>
  <c r="BC29" i="3" s="1"/>
  <c r="BC24" i="3"/>
  <c r="BC30" i="3" s="1"/>
  <c r="BC25" i="3"/>
  <c r="BC31" i="3" s="1"/>
  <c r="BC26" i="3"/>
  <c r="BC32" i="3" s="1"/>
  <c r="BB10" i="4"/>
  <c r="BB57" i="9"/>
  <c r="AY80" i="9"/>
  <c r="AY77" i="9"/>
  <c r="AQ33" i="13"/>
  <c r="AQ34" i="13" s="1"/>
  <c r="AQ32" i="13"/>
  <c r="AQ31" i="13"/>
  <c r="AZ68" i="9"/>
  <c r="BB27" i="3"/>
  <c r="AQ12" i="14"/>
  <c r="AP17" i="14"/>
  <c r="BA19" i="4"/>
  <c r="BA15" i="4"/>
  <c r="BA16" i="4"/>
  <c r="BA18" i="4"/>
  <c r="BA22" i="4"/>
  <c r="BA20" i="4"/>
  <c r="BA21" i="4"/>
  <c r="BA23" i="4"/>
  <c r="BA29" i="4"/>
  <c r="BA31" i="4"/>
  <c r="BA28" i="4"/>
  <c r="BA26" i="4"/>
  <c r="BA33" i="4"/>
  <c r="BA27" i="4"/>
  <c r="BA25" i="4"/>
  <c r="BA32" i="4"/>
  <c r="BA30" i="4"/>
  <c r="BA34" i="4"/>
  <c r="BD8" i="3"/>
  <c r="BE9" i="3"/>
  <c r="BD11" i="3"/>
  <c r="BC9" i="13"/>
  <c r="BC32" i="9"/>
  <c r="BC56" i="9" s="1"/>
  <c r="BC9" i="10"/>
  <c r="BC9" i="14" s="1"/>
  <c r="BC9" i="22"/>
  <c r="BC9" i="4"/>
  <c r="AW13" i="22"/>
  <c r="AW18" i="10"/>
  <c r="AW12" i="22" s="1"/>
  <c r="AP18" i="14"/>
  <c r="AQ16" i="14"/>
  <c r="AT21" i="10"/>
  <c r="AT20" i="10"/>
  <c r="AU20" i="10" s="1"/>
  <c r="BH73" i="5"/>
  <c r="BD17" i="4" s="1"/>
  <c r="BI72" i="5"/>
  <c r="BU59" i="5"/>
  <c r="BI22" i="10"/>
  <c r="BO60" i="5"/>
  <c r="BN71" i="5"/>
  <c r="BJ12" i="4" s="1"/>
  <c r="BC24" i="13"/>
  <c r="BB23" i="13"/>
  <c r="BD9" i="27"/>
  <c r="BD18" i="27" s="1"/>
  <c r="BC8" i="27"/>
  <c r="BC17" i="27" s="1"/>
  <c r="BD13" i="27"/>
  <c r="BD12" i="27"/>
  <c r="BU61" i="5"/>
  <c r="AU25" i="10" l="1"/>
  <c r="AU26" i="10" s="1"/>
  <c r="AW10" i="22"/>
  <c r="AW14" i="13" s="1"/>
  <c r="AW15" i="13" s="1"/>
  <c r="AW19" i="13" s="1"/>
  <c r="AW10" i="14" s="1"/>
  <c r="AW11" i="14" s="1"/>
  <c r="AW15" i="14" s="1"/>
  <c r="AY79" i="9"/>
  <c r="AV20" i="10"/>
  <c r="BA73" i="9"/>
  <c r="BA68" i="9"/>
  <c r="BA58" i="9"/>
  <c r="AQ36" i="13"/>
  <c r="AR35" i="13" s="1"/>
  <c r="AY13" i="4"/>
  <c r="AY78" i="9"/>
  <c r="AY11" i="22"/>
  <c r="BC27" i="3"/>
  <c r="AV25" i="10"/>
  <c r="AV26" i="10" s="1"/>
  <c r="AV24" i="10"/>
  <c r="AX13" i="10"/>
  <c r="AX17" i="10"/>
  <c r="AR16" i="14"/>
  <c r="AQ18" i="14"/>
  <c r="BB33" i="3"/>
  <c r="BA10" i="10"/>
  <c r="BA11" i="13"/>
  <c r="BB74" i="9"/>
  <c r="BB65" i="9"/>
  <c r="BB70" i="9"/>
  <c r="BB60" i="9"/>
  <c r="BB76" i="9"/>
  <c r="BB62" i="9"/>
  <c r="BB69" i="9"/>
  <c r="BB71" i="9"/>
  <c r="BB72" i="9"/>
  <c r="BB64" i="9"/>
  <c r="BB66" i="9"/>
  <c r="BB75" i="9"/>
  <c r="BB67" i="9"/>
  <c r="BB59" i="9"/>
  <c r="BB61" i="9"/>
  <c r="AX13" i="22"/>
  <c r="AX18" i="10"/>
  <c r="AX12" i="22" s="1"/>
  <c r="BD24" i="3"/>
  <c r="BD30" i="3" s="1"/>
  <c r="BD25" i="3"/>
  <c r="BD31" i="3" s="1"/>
  <c r="BD26" i="3"/>
  <c r="BD32" i="3" s="1"/>
  <c r="BD22" i="3"/>
  <c r="BD28" i="3" s="1"/>
  <c r="BD23" i="3"/>
  <c r="BD29" i="3" s="1"/>
  <c r="BC10" i="4"/>
  <c r="BC57" i="9"/>
  <c r="AZ81" i="9"/>
  <c r="BB19" i="4"/>
  <c r="BB15" i="4"/>
  <c r="BB16" i="4"/>
  <c r="BB18" i="4"/>
  <c r="BB21" i="4"/>
  <c r="BB22" i="4"/>
  <c r="BB23" i="4"/>
  <c r="BB20" i="4"/>
  <c r="BB31" i="4"/>
  <c r="BB29" i="4"/>
  <c r="BB30" i="4"/>
  <c r="BB28" i="4"/>
  <c r="BB25" i="4"/>
  <c r="BB26" i="4"/>
  <c r="BB32" i="4"/>
  <c r="BB34" i="4"/>
  <c r="BB27" i="4"/>
  <c r="BB33" i="4"/>
  <c r="AZ77" i="9"/>
  <c r="AZ82" i="9"/>
  <c r="AZ84" i="9"/>
  <c r="AZ83" i="9"/>
  <c r="AT26" i="10"/>
  <c r="AZ80" i="9"/>
  <c r="BF9" i="3"/>
  <c r="BE8" i="3"/>
  <c r="BD9" i="13"/>
  <c r="BD32" i="9"/>
  <c r="BD56" i="9" s="1"/>
  <c r="BD9" i="4"/>
  <c r="BD9" i="10"/>
  <c r="BD9" i="14" s="1"/>
  <c r="BE11" i="3"/>
  <c r="BD9" i="22"/>
  <c r="AT29" i="13"/>
  <c r="AS30" i="13"/>
  <c r="BA63" i="9"/>
  <c r="AW23" i="10"/>
  <c r="AW19" i="10"/>
  <c r="AW21" i="10" s="1"/>
  <c r="BA24" i="4"/>
  <c r="BA13" i="13" s="1"/>
  <c r="AR12" i="14"/>
  <c r="AQ17" i="14"/>
  <c r="BC8" i="4"/>
  <c r="BC8" i="13"/>
  <c r="BC8" i="22"/>
  <c r="BC31" i="9"/>
  <c r="BC55" i="9" s="1"/>
  <c r="BC8" i="10"/>
  <c r="BC8" i="14" s="1"/>
  <c r="AR33" i="13"/>
  <c r="AR34" i="13" s="1"/>
  <c r="AR31" i="13"/>
  <c r="AR32" i="13"/>
  <c r="BI73" i="5"/>
  <c r="BE17" i="4" s="1"/>
  <c r="BJ72" i="5"/>
  <c r="BV59" i="5"/>
  <c r="BP60" i="5"/>
  <c r="BO71" i="5"/>
  <c r="BK12" i="4" s="1"/>
  <c r="BJ22" i="10"/>
  <c r="BD8" i="27"/>
  <c r="BD17" i="27" s="1"/>
  <c r="BE9" i="27"/>
  <c r="BE18" i="27" s="1"/>
  <c r="BC23" i="13"/>
  <c r="BE12" i="27"/>
  <c r="BE13" i="27"/>
  <c r="BD24" i="13"/>
  <c r="BV61" i="5"/>
  <c r="BA80" i="9" l="1"/>
  <c r="BA82" i="9"/>
  <c r="BA83" i="9"/>
  <c r="BA81" i="9"/>
  <c r="BA77" i="9"/>
  <c r="BA78" i="9" s="1"/>
  <c r="BA84" i="9"/>
  <c r="AX10" i="22"/>
  <c r="AX14" i="13" s="1"/>
  <c r="AX15" i="13" s="1"/>
  <c r="AX19" i="13" s="1"/>
  <c r="AX10" i="14" s="1"/>
  <c r="AX11" i="14" s="1"/>
  <c r="AX15" i="14" s="1"/>
  <c r="BB73" i="9"/>
  <c r="BB58" i="9"/>
  <c r="BD27" i="3"/>
  <c r="BC11" i="13" s="1"/>
  <c r="AW25" i="10"/>
  <c r="AW26" i="10" s="1"/>
  <c r="AW24" i="10"/>
  <c r="BC19" i="4"/>
  <c r="BC15" i="4"/>
  <c r="BC16" i="4"/>
  <c r="BC22" i="4"/>
  <c r="BC20" i="4"/>
  <c r="BC21" i="4"/>
  <c r="BC23" i="4"/>
  <c r="BC18" i="4"/>
  <c r="BC31" i="4"/>
  <c r="BC27" i="4"/>
  <c r="BC32" i="4"/>
  <c r="BC29" i="4"/>
  <c r="BC33" i="4"/>
  <c r="BC25" i="4"/>
  <c r="BC30" i="4"/>
  <c r="BC26" i="4"/>
  <c r="BC28" i="4"/>
  <c r="BC34" i="4"/>
  <c r="BB10" i="10"/>
  <c r="BB11" i="13"/>
  <c r="BC33" i="3"/>
  <c r="BC70" i="9"/>
  <c r="BC60" i="9"/>
  <c r="BC74" i="9"/>
  <c r="BC65" i="9"/>
  <c r="BC72" i="9"/>
  <c r="BC64" i="9"/>
  <c r="BC66" i="9"/>
  <c r="BC67" i="9"/>
  <c r="BC75" i="9"/>
  <c r="BC59" i="9"/>
  <c r="BC76" i="9"/>
  <c r="BC62" i="9"/>
  <c r="BC69" i="9"/>
  <c r="BC71" i="9"/>
  <c r="BC61" i="9"/>
  <c r="BB24" i="4"/>
  <c r="BB13" i="13" s="1"/>
  <c r="BB68" i="9"/>
  <c r="AR18" i="14"/>
  <c r="AS16" i="14"/>
  <c r="AW20" i="10"/>
  <c r="AS33" i="13"/>
  <c r="AS34" i="13" s="1"/>
  <c r="AS31" i="13"/>
  <c r="AS32" i="13"/>
  <c r="AX19" i="10"/>
  <c r="AX21" i="10" s="1"/>
  <c r="AX23" i="10"/>
  <c r="AU29" i="13"/>
  <c r="AT30" i="13"/>
  <c r="BF8" i="3"/>
  <c r="BF11" i="3"/>
  <c r="BE9" i="22"/>
  <c r="BE32" i="9"/>
  <c r="BE56" i="9" s="1"/>
  <c r="BE9" i="13"/>
  <c r="BE9" i="4"/>
  <c r="BG9" i="3"/>
  <c r="BE9" i="10"/>
  <c r="BE9" i="14" s="1"/>
  <c r="AZ13" i="4"/>
  <c r="AZ11" i="22"/>
  <c r="AZ78" i="9"/>
  <c r="AY12" i="13"/>
  <c r="BE26" i="3"/>
  <c r="BE32" i="3" s="1"/>
  <c r="BE22" i="3"/>
  <c r="BE28" i="3" s="1"/>
  <c r="BE23" i="3"/>
  <c r="BE29" i="3" s="1"/>
  <c r="BE24" i="3"/>
  <c r="BE30" i="3" s="1"/>
  <c r="BE25" i="3"/>
  <c r="BE31" i="3" s="1"/>
  <c r="BD10" i="4"/>
  <c r="BD57" i="9"/>
  <c r="AZ79" i="9"/>
  <c r="AY14" i="4"/>
  <c r="AY11" i="4" s="1"/>
  <c r="AY35" i="4" s="1"/>
  <c r="AY11" i="10" s="1"/>
  <c r="AY12" i="10" s="1"/>
  <c r="BD8" i="13"/>
  <c r="BD8" i="4"/>
  <c r="BD8" i="22"/>
  <c r="BD8" i="10"/>
  <c r="BD8" i="14" s="1"/>
  <c r="BD31" i="9"/>
  <c r="BD55" i="9" s="1"/>
  <c r="AS12" i="14"/>
  <c r="AT12" i="14" s="1"/>
  <c r="AS17" i="14" s="1"/>
  <c r="AR17" i="14"/>
  <c r="BB63" i="9"/>
  <c r="AR36" i="13"/>
  <c r="AS35" i="13" s="1"/>
  <c r="BJ73" i="5"/>
  <c r="BF17" i="4" s="1"/>
  <c r="BK72" i="5"/>
  <c r="BW59" i="5"/>
  <c r="BK22" i="10"/>
  <c r="BQ60" i="5"/>
  <c r="BP71" i="5"/>
  <c r="BL12" i="4" s="1"/>
  <c r="BD23" i="13"/>
  <c r="BE24" i="13"/>
  <c r="BF13" i="27"/>
  <c r="BF12" i="27"/>
  <c r="BE8" i="27"/>
  <c r="BE17" i="27" s="1"/>
  <c r="BF9" i="27"/>
  <c r="BF18" i="27" s="1"/>
  <c r="BW61" i="5"/>
  <c r="BA13" i="4" l="1"/>
  <c r="BA11" i="22"/>
  <c r="BA12" i="13" s="1"/>
  <c r="BD33" i="3"/>
  <c r="BB80" i="9"/>
  <c r="BA79" i="9"/>
  <c r="BB84" i="9"/>
  <c r="BB83" i="9"/>
  <c r="BC10" i="10"/>
  <c r="BB82" i="9"/>
  <c r="BB81" i="9"/>
  <c r="BC58" i="9"/>
  <c r="BC68" i="9"/>
  <c r="AX20" i="10"/>
  <c r="AS36" i="13"/>
  <c r="AT35" i="13" s="1"/>
  <c r="AY13" i="10"/>
  <c r="AY17" i="10"/>
  <c r="AX25" i="10"/>
  <c r="AX26" i="10" s="1"/>
  <c r="AX24" i="10"/>
  <c r="AU12" i="14"/>
  <c r="AT17" i="14" s="1"/>
  <c r="BE27" i="3"/>
  <c r="BB77" i="9"/>
  <c r="AZ12" i="13"/>
  <c r="BF24" i="3"/>
  <c r="BF30" i="3" s="1"/>
  <c r="BF22" i="3"/>
  <c r="BF28" i="3" s="1"/>
  <c r="BF26" i="3"/>
  <c r="BF32" i="3" s="1"/>
  <c r="BF23" i="3"/>
  <c r="BF29" i="3" s="1"/>
  <c r="BF25" i="3"/>
  <c r="BF31" i="3" s="1"/>
  <c r="BE10" i="4"/>
  <c r="BE57" i="9"/>
  <c r="BC63" i="9"/>
  <c r="BD74" i="9"/>
  <c r="BD65" i="9"/>
  <c r="BD70" i="9"/>
  <c r="BD60" i="9"/>
  <c r="BD67" i="9"/>
  <c r="BD75" i="9"/>
  <c r="BD59" i="9"/>
  <c r="BD76" i="9"/>
  <c r="BD61" i="9"/>
  <c r="BD69" i="9"/>
  <c r="BD62" i="9"/>
  <c r="BD71" i="9"/>
  <c r="BD72" i="9"/>
  <c r="BD64" i="9"/>
  <c r="BD66" i="9"/>
  <c r="AZ14" i="4"/>
  <c r="AZ11" i="4" s="1"/>
  <c r="AZ35" i="4" s="1"/>
  <c r="AZ11" i="10" s="1"/>
  <c r="AZ12" i="10" s="1"/>
  <c r="BE8" i="13"/>
  <c r="BE8" i="22"/>
  <c r="BE8" i="4"/>
  <c r="BE8" i="10"/>
  <c r="BE8" i="14" s="1"/>
  <c r="BE31" i="9"/>
  <c r="BE55" i="9" s="1"/>
  <c r="AY13" i="22"/>
  <c r="AY18" i="10"/>
  <c r="AY12" i="22" s="1"/>
  <c r="BD16" i="4"/>
  <c r="BD15" i="4"/>
  <c r="BD19" i="4"/>
  <c r="BD18" i="4"/>
  <c r="BD20" i="4"/>
  <c r="BD23" i="4"/>
  <c r="BD21" i="4"/>
  <c r="BD22" i="4"/>
  <c r="BD33" i="4"/>
  <c r="BD27" i="4"/>
  <c r="BD30" i="4"/>
  <c r="BD28" i="4"/>
  <c r="BD29" i="4"/>
  <c r="BD26" i="4"/>
  <c r="BD25" i="4"/>
  <c r="BD31" i="4"/>
  <c r="BD32" i="4"/>
  <c r="BD34" i="4"/>
  <c r="AT33" i="13"/>
  <c r="AT34" i="13" s="1"/>
  <c r="AT31" i="13"/>
  <c r="AT32" i="13"/>
  <c r="AS18" i="14"/>
  <c r="AT16" i="14"/>
  <c r="BC24" i="4"/>
  <c r="BC13" i="13" s="1"/>
  <c r="BA14" i="4"/>
  <c r="BG8" i="3"/>
  <c r="BH9" i="3"/>
  <c r="BG11" i="3"/>
  <c r="BF9" i="13"/>
  <c r="BF32" i="9"/>
  <c r="BF56" i="9" s="1"/>
  <c r="BF9" i="22"/>
  <c r="BF9" i="4"/>
  <c r="BF9" i="10"/>
  <c r="BF9" i="14" s="1"/>
  <c r="AU30" i="13"/>
  <c r="AV29" i="13"/>
  <c r="BC73" i="9"/>
  <c r="BK73" i="5"/>
  <c r="BG17" i="4" s="1"/>
  <c r="BL72" i="5"/>
  <c r="BX59" i="5"/>
  <c r="BR60" i="5"/>
  <c r="BQ71" i="5"/>
  <c r="BM12" i="4" s="1"/>
  <c r="BL22" i="10"/>
  <c r="BF24" i="13"/>
  <c r="BG13" i="27"/>
  <c r="BG12" i="27"/>
  <c r="BE23" i="13"/>
  <c r="BF8" i="27"/>
  <c r="BF17" i="27" s="1"/>
  <c r="BG9" i="27"/>
  <c r="BG18" i="27" s="1"/>
  <c r="BX61" i="5"/>
  <c r="AY10" i="22" l="1"/>
  <c r="AY14" i="13" s="1"/>
  <c r="AY15" i="13" s="1"/>
  <c r="AY19" i="13" s="1"/>
  <c r="AY10" i="14" s="1"/>
  <c r="AY11" i="14" s="1"/>
  <c r="AY15" i="14" s="1"/>
  <c r="BB79" i="9"/>
  <c r="BD63" i="9"/>
  <c r="AV12" i="14"/>
  <c r="AW12" i="14" s="1"/>
  <c r="AX12" i="14" s="1"/>
  <c r="AW17" i="14" s="1"/>
  <c r="AZ13" i="10"/>
  <c r="AZ17" i="10"/>
  <c r="AT36" i="13"/>
  <c r="AU35" i="13" s="1"/>
  <c r="BE16" i="4"/>
  <c r="BE19" i="4"/>
  <c r="BE15" i="4"/>
  <c r="BE20" i="4"/>
  <c r="BE18" i="4"/>
  <c r="BE22" i="4"/>
  <c r="BE23" i="4"/>
  <c r="BE21" i="4"/>
  <c r="BE28" i="4"/>
  <c r="BE27" i="4"/>
  <c r="BE33" i="4"/>
  <c r="BE25" i="4"/>
  <c r="BE29" i="4"/>
  <c r="BE31" i="4"/>
  <c r="BE32" i="4"/>
  <c r="BE26" i="4"/>
  <c r="BE30" i="4"/>
  <c r="BE34" i="4"/>
  <c r="BB78" i="9"/>
  <c r="BB11" i="22"/>
  <c r="BB12" i="13" s="1"/>
  <c r="BB13" i="4"/>
  <c r="BC77" i="9"/>
  <c r="BC83" i="9"/>
  <c r="BC84" i="9"/>
  <c r="BC82" i="9"/>
  <c r="BC81" i="9"/>
  <c r="BD68" i="9"/>
  <c r="BF27" i="3"/>
  <c r="BA13" i="22"/>
  <c r="BA18" i="10"/>
  <c r="BA12" i="22" s="1"/>
  <c r="BH8" i="3"/>
  <c r="BI9" i="3"/>
  <c r="BH11" i="3"/>
  <c r="BG9" i="13"/>
  <c r="BG32" i="9"/>
  <c r="BG56" i="9" s="1"/>
  <c r="BG9" i="4"/>
  <c r="BG9" i="22"/>
  <c r="BG9" i="10"/>
  <c r="BG9" i="14" s="1"/>
  <c r="BD73" i="9"/>
  <c r="BD10" i="10"/>
  <c r="BE33" i="3"/>
  <c r="BD11" i="13"/>
  <c r="AT18" i="14"/>
  <c r="AU16" i="14"/>
  <c r="BF8" i="13"/>
  <c r="BF8" i="4"/>
  <c r="BF8" i="10"/>
  <c r="BF8" i="14" s="1"/>
  <c r="BF31" i="9"/>
  <c r="BF55" i="9" s="1"/>
  <c r="BF8" i="22"/>
  <c r="BD24" i="4"/>
  <c r="BD13" i="13" s="1"/>
  <c r="AZ13" i="22"/>
  <c r="AZ18" i="10"/>
  <c r="AZ12" i="22" s="1"/>
  <c r="BC80" i="9"/>
  <c r="AY19" i="10"/>
  <c r="AY23" i="10"/>
  <c r="BG22" i="3"/>
  <c r="BG28" i="3" s="1"/>
  <c r="BG26" i="3"/>
  <c r="BG32" i="3" s="1"/>
  <c r="BG24" i="3"/>
  <c r="BG30" i="3" s="1"/>
  <c r="BG23" i="3"/>
  <c r="BG29" i="3" s="1"/>
  <c r="BG25" i="3"/>
  <c r="BG31" i="3" s="1"/>
  <c r="BF57" i="9"/>
  <c r="BF10" i="4"/>
  <c r="AV30" i="13"/>
  <c r="AW29" i="13"/>
  <c r="AU33" i="13"/>
  <c r="AU34" i="13" s="1"/>
  <c r="AU31" i="13"/>
  <c r="AU32" i="13"/>
  <c r="BA11" i="4"/>
  <c r="BA35" i="4" s="1"/>
  <c r="BA11" i="10" s="1"/>
  <c r="BA12" i="10" s="1"/>
  <c r="BD58" i="9"/>
  <c r="BE69" i="9"/>
  <c r="BE59" i="9"/>
  <c r="BE64" i="9"/>
  <c r="BE76" i="9"/>
  <c r="BE62" i="9"/>
  <c r="BE70" i="9"/>
  <c r="BE71" i="9"/>
  <c r="BE72" i="9"/>
  <c r="BE65" i="9"/>
  <c r="BE66" i="9"/>
  <c r="BE74" i="9"/>
  <c r="BE60" i="9"/>
  <c r="BE75" i="9"/>
  <c r="BE67" i="9"/>
  <c r="BE61" i="9"/>
  <c r="BL73" i="5"/>
  <c r="BH17" i="4" s="1"/>
  <c r="BM72" i="5"/>
  <c r="BY59" i="5"/>
  <c r="AU17" i="14"/>
  <c r="BM22" i="10"/>
  <c r="BS60" i="5"/>
  <c r="BR71" i="5"/>
  <c r="BN12" i="4" s="1"/>
  <c r="BH13" i="27"/>
  <c r="BH12" i="27"/>
  <c r="BG24" i="13"/>
  <c r="BH9" i="27"/>
  <c r="BH18" i="27" s="1"/>
  <c r="BG8" i="27"/>
  <c r="BG17" i="27" s="1"/>
  <c r="AV17" i="14"/>
  <c r="BF23" i="13"/>
  <c r="BY61" i="5"/>
  <c r="BA10" i="22" l="1"/>
  <c r="BA14" i="13" s="1"/>
  <c r="BA15" i="13" s="1"/>
  <c r="BA19" i="13" s="1"/>
  <c r="BA10" i="14" s="1"/>
  <c r="BA11" i="14" s="1"/>
  <c r="BA15" i="14" s="1"/>
  <c r="AZ10" i="22"/>
  <c r="AZ14" i="13" s="1"/>
  <c r="AZ15" i="13" s="1"/>
  <c r="AZ19" i="13" s="1"/>
  <c r="AZ10" i="14" s="1"/>
  <c r="AZ11" i="14" s="1"/>
  <c r="AZ15" i="14" s="1"/>
  <c r="BD83" i="9"/>
  <c r="BD81" i="9"/>
  <c r="BE24" i="4"/>
  <c r="BE13" i="13" s="1"/>
  <c r="BC79" i="9"/>
  <c r="BF72" i="9"/>
  <c r="BF76" i="9"/>
  <c r="BF67" i="9"/>
  <c r="BF71" i="9"/>
  <c r="BF65" i="9"/>
  <c r="BF66" i="9"/>
  <c r="BF74" i="9"/>
  <c r="BF59" i="9"/>
  <c r="BF75" i="9"/>
  <c r="BF60" i="9"/>
  <c r="BF62" i="9"/>
  <c r="BF64" i="9"/>
  <c r="BF70" i="9"/>
  <c r="BF69" i="9"/>
  <c r="BF61" i="9"/>
  <c r="BD82" i="9"/>
  <c r="AU18" i="14"/>
  <c r="AV16" i="14"/>
  <c r="BD80" i="9"/>
  <c r="BH26" i="3"/>
  <c r="BH32" i="3" s="1"/>
  <c r="BH22" i="3"/>
  <c r="BH28" i="3" s="1"/>
  <c r="BH23" i="3"/>
  <c r="BH29" i="3" s="1"/>
  <c r="BH24" i="3"/>
  <c r="BH30" i="3" s="1"/>
  <c r="BH25" i="3"/>
  <c r="BH31" i="3" s="1"/>
  <c r="BG10" i="4"/>
  <c r="BG57" i="9"/>
  <c r="BA13" i="10"/>
  <c r="BA17" i="10"/>
  <c r="BJ9" i="3"/>
  <c r="BI11" i="3"/>
  <c r="BI8" i="3"/>
  <c r="BH9" i="4"/>
  <c r="BH9" i="10"/>
  <c r="BH9" i="14" s="1"/>
  <c r="BH9" i="22"/>
  <c r="BH9" i="13"/>
  <c r="BH32" i="9"/>
  <c r="BH56" i="9" s="1"/>
  <c r="BD84" i="9"/>
  <c r="BD77" i="9"/>
  <c r="BG8" i="13"/>
  <c r="BG8" i="4"/>
  <c r="BG8" i="22"/>
  <c r="BG8" i="10"/>
  <c r="BG8" i="14" s="1"/>
  <c r="BG31" i="9"/>
  <c r="BG55" i="9" s="1"/>
  <c r="AU36" i="13"/>
  <c r="AV35" i="13" s="1"/>
  <c r="BG27" i="3"/>
  <c r="BC11" i="22"/>
  <c r="BC13" i="4"/>
  <c r="BC78" i="9"/>
  <c r="AZ19" i="10"/>
  <c r="AZ21" i="10" s="1"/>
  <c r="AZ23" i="10"/>
  <c r="BE63" i="9"/>
  <c r="BE58" i="9"/>
  <c r="AV33" i="13"/>
  <c r="AV34" i="13" s="1"/>
  <c r="AV31" i="13"/>
  <c r="AV32" i="13"/>
  <c r="BB14" i="4"/>
  <c r="BB11" i="4" s="1"/>
  <c r="BB35" i="4" s="1"/>
  <c r="BB11" i="10" s="1"/>
  <c r="BB12" i="10" s="1"/>
  <c r="AY21" i="10"/>
  <c r="AY20" i="10"/>
  <c r="BE73" i="9"/>
  <c r="AX29" i="13"/>
  <c r="AW30" i="13"/>
  <c r="BE68" i="9"/>
  <c r="BF15" i="4"/>
  <c r="BF19" i="4"/>
  <c r="BF16" i="4"/>
  <c r="BF23" i="4"/>
  <c r="BF21" i="4"/>
  <c r="BF18" i="4"/>
  <c r="BF20" i="4"/>
  <c r="BF22" i="4"/>
  <c r="BF30" i="4"/>
  <c r="BF31" i="4"/>
  <c r="BF29" i="4"/>
  <c r="BF26" i="4"/>
  <c r="BF28" i="4"/>
  <c r="BF25" i="4"/>
  <c r="BF33" i="4"/>
  <c r="BF27" i="4"/>
  <c r="BF34" i="4"/>
  <c r="BF32" i="4"/>
  <c r="AY25" i="10"/>
  <c r="AY26" i="10" s="1"/>
  <c r="AY24" i="10"/>
  <c r="BF33" i="3"/>
  <c r="BE11" i="13"/>
  <c r="BE10" i="10"/>
  <c r="BM73" i="5"/>
  <c r="BI17" i="4" s="1"/>
  <c r="BN72" i="5"/>
  <c r="BZ59" i="5"/>
  <c r="BT60" i="5"/>
  <c r="BS71" i="5"/>
  <c r="BO12" i="4" s="1"/>
  <c r="BN22" i="10"/>
  <c r="BH8" i="27"/>
  <c r="BH17" i="27" s="1"/>
  <c r="BI9" i="27"/>
  <c r="BI18" i="27" s="1"/>
  <c r="BI13" i="27"/>
  <c r="BI12" i="27"/>
  <c r="BH24" i="13"/>
  <c r="BG23" i="13"/>
  <c r="BZ61" i="5"/>
  <c r="AY12" i="14"/>
  <c r="AX17" i="14" s="1"/>
  <c r="BE84" i="9" l="1"/>
  <c r="AZ20" i="10"/>
  <c r="BF73" i="9"/>
  <c r="BF68" i="9"/>
  <c r="BE77" i="9"/>
  <c r="BE13" i="4" s="1"/>
  <c r="BD79" i="9"/>
  <c r="AV36" i="13"/>
  <c r="AW35" i="13" s="1"/>
  <c r="AZ25" i="10"/>
  <c r="AZ26" i="10" s="1"/>
  <c r="AZ24" i="10"/>
  <c r="BH27" i="3"/>
  <c r="BE80" i="9"/>
  <c r="BB13" i="10"/>
  <c r="BB17" i="10"/>
  <c r="BA23" i="10"/>
  <c r="BA19" i="10"/>
  <c r="BA21" i="10" s="1"/>
  <c r="BF63" i="9"/>
  <c r="BB13" i="22"/>
  <c r="BB18" i="10"/>
  <c r="BB12" i="22" s="1"/>
  <c r="BE83" i="9"/>
  <c r="BC14" i="4"/>
  <c r="BC11" i="4" s="1"/>
  <c r="BC35" i="4" s="1"/>
  <c r="BC11" i="10" s="1"/>
  <c r="BC12" i="10" s="1"/>
  <c r="BG76" i="9"/>
  <c r="BG67" i="9"/>
  <c r="BG72" i="9"/>
  <c r="BG62" i="9"/>
  <c r="BG66" i="9"/>
  <c r="BG75" i="9"/>
  <c r="BG60" i="9"/>
  <c r="BG69" i="9"/>
  <c r="BG61" i="9"/>
  <c r="BG70" i="9"/>
  <c r="BG71" i="9"/>
  <c r="BG59" i="9"/>
  <c r="BG65" i="9"/>
  <c r="BG74" i="9"/>
  <c r="BG64" i="9"/>
  <c r="AW16" i="14"/>
  <c r="AV18" i="14"/>
  <c r="BK9" i="3"/>
  <c r="BI9" i="22"/>
  <c r="BI9" i="13"/>
  <c r="BJ11" i="3"/>
  <c r="BI32" i="9"/>
  <c r="BI56" i="9" s="1"/>
  <c r="BI9" i="4"/>
  <c r="BI9" i="10"/>
  <c r="BI9" i="14" s="1"/>
  <c r="BJ8" i="3"/>
  <c r="BE82" i="9"/>
  <c r="BE81" i="9"/>
  <c r="AW33" i="13"/>
  <c r="AW34" i="13" s="1"/>
  <c r="AW32" i="13"/>
  <c r="AW31" i="13"/>
  <c r="BC12" i="13"/>
  <c r="BD11" i="22"/>
  <c r="BD78" i="9"/>
  <c r="BD13" i="4"/>
  <c r="BH8" i="13"/>
  <c r="BH8" i="4"/>
  <c r="BH31" i="9"/>
  <c r="BH55" i="9" s="1"/>
  <c r="BH8" i="22"/>
  <c r="BH8" i="10"/>
  <c r="BH8" i="14" s="1"/>
  <c r="BG15" i="4"/>
  <c r="BG16" i="4"/>
  <c r="BG19" i="4"/>
  <c r="BG18" i="4"/>
  <c r="BG20" i="4"/>
  <c r="BG21" i="4"/>
  <c r="BG22" i="4"/>
  <c r="BG23" i="4"/>
  <c r="BG28" i="4"/>
  <c r="BG27" i="4"/>
  <c r="BG33" i="4"/>
  <c r="BG26" i="4"/>
  <c r="BG31" i="4"/>
  <c r="BG30" i="4"/>
  <c r="BG25" i="4"/>
  <c r="BG34" i="4"/>
  <c r="BG32" i="4"/>
  <c r="BG29" i="4"/>
  <c r="BF24" i="4"/>
  <c r="BF13" i="13" s="1"/>
  <c r="AX30" i="13"/>
  <c r="AY29" i="13"/>
  <c r="BF10" i="10"/>
  <c r="BG33" i="3"/>
  <c r="BF11" i="13"/>
  <c r="BI25" i="3"/>
  <c r="BI31" i="3" s="1"/>
  <c r="BI23" i="3"/>
  <c r="BI29" i="3" s="1"/>
  <c r="BI24" i="3"/>
  <c r="BI30" i="3" s="1"/>
  <c r="BI22" i="3"/>
  <c r="BI28" i="3" s="1"/>
  <c r="BH57" i="9"/>
  <c r="BH10" i="4"/>
  <c r="BI26" i="3"/>
  <c r="BI32" i="3" s="1"/>
  <c r="BF58" i="9"/>
  <c r="BF84" i="9" s="1"/>
  <c r="BN73" i="5"/>
  <c r="BJ17" i="4" s="1"/>
  <c r="BO72" i="5"/>
  <c r="CA59" i="5"/>
  <c r="CB59" i="5" s="1"/>
  <c r="BO22" i="10"/>
  <c r="BU60" i="5"/>
  <c r="BT71" i="5"/>
  <c r="BP12" i="4" s="1"/>
  <c r="BJ13" i="27"/>
  <c r="BJ12" i="27"/>
  <c r="BI24" i="13"/>
  <c r="BH23" i="13"/>
  <c r="BI8" i="27"/>
  <c r="BI17" i="27" s="1"/>
  <c r="BJ9" i="27"/>
  <c r="BJ18" i="27" s="1"/>
  <c r="CA61" i="5"/>
  <c r="AZ12" i="14"/>
  <c r="BF77" i="9" l="1"/>
  <c r="BF78" i="9" s="1"/>
  <c r="BE78" i="9"/>
  <c r="BE11" i="22"/>
  <c r="BE12" i="13" s="1"/>
  <c r="BB10" i="22"/>
  <c r="BB14" i="13" s="1"/>
  <c r="BB15" i="13" s="1"/>
  <c r="BB19" i="13" s="1"/>
  <c r="BB10" i="14" s="1"/>
  <c r="BB11" i="14" s="1"/>
  <c r="BB15" i="14" s="1"/>
  <c r="BF82" i="9"/>
  <c r="BG73" i="9"/>
  <c r="BA20" i="10"/>
  <c r="BK8" i="3"/>
  <c r="BK11" i="3"/>
  <c r="BL9" i="3"/>
  <c r="BJ9" i="4"/>
  <c r="BJ9" i="10"/>
  <c r="BJ9" i="14" s="1"/>
  <c r="BJ9" i="13"/>
  <c r="BJ32" i="9"/>
  <c r="BJ56" i="9" s="1"/>
  <c r="BJ9" i="22"/>
  <c r="BE79" i="9"/>
  <c r="BD14" i="4"/>
  <c r="BD11" i="4" s="1"/>
  <c r="BD35" i="4" s="1"/>
  <c r="BD11" i="10" s="1"/>
  <c r="BD12" i="10" s="1"/>
  <c r="BF81" i="9"/>
  <c r="BF80" i="9"/>
  <c r="BD12" i="13"/>
  <c r="BI8" i="13"/>
  <c r="BI8" i="10"/>
  <c r="BI8" i="14" s="1"/>
  <c r="BI31" i="9"/>
  <c r="BI55" i="9" s="1"/>
  <c r="BI8" i="4"/>
  <c r="BI8" i="22"/>
  <c r="BG68" i="9"/>
  <c r="AX33" i="13"/>
  <c r="AX34" i="13" s="1"/>
  <c r="AX32" i="13"/>
  <c r="AX31" i="13"/>
  <c r="BG24" i="4"/>
  <c r="BG13" i="13" s="1"/>
  <c r="BG63" i="9"/>
  <c r="BC13" i="22"/>
  <c r="BC18" i="10"/>
  <c r="BC12" i="22" s="1"/>
  <c r="AW18" i="14"/>
  <c r="AX16" i="14"/>
  <c r="BH33" i="3"/>
  <c r="BG10" i="10"/>
  <c r="BG11" i="13"/>
  <c r="AZ29" i="13"/>
  <c r="AY30" i="13"/>
  <c r="BH15" i="4"/>
  <c r="BH16" i="4"/>
  <c r="BH19" i="4"/>
  <c r="BH21" i="4"/>
  <c r="BH23" i="4"/>
  <c r="BH18" i="4"/>
  <c r="BH20" i="4"/>
  <c r="BH22" i="4"/>
  <c r="BH31" i="4"/>
  <c r="BH29" i="4"/>
  <c r="BH25" i="4"/>
  <c r="BH27" i="4"/>
  <c r="BH32" i="4"/>
  <c r="BH26" i="4"/>
  <c r="BH30" i="4"/>
  <c r="BH33" i="4"/>
  <c r="BH34" i="4"/>
  <c r="BH28" i="4"/>
  <c r="BH71" i="9"/>
  <c r="BH75" i="9"/>
  <c r="BH66" i="9"/>
  <c r="BH74" i="9"/>
  <c r="BH59" i="9"/>
  <c r="BH69" i="9"/>
  <c r="BH62" i="9"/>
  <c r="BH70" i="9"/>
  <c r="BH72" i="9"/>
  <c r="BH64" i="9"/>
  <c r="BH67" i="9"/>
  <c r="BH60" i="9"/>
  <c r="BH65" i="9"/>
  <c r="BH76" i="9"/>
  <c r="BH61" i="9"/>
  <c r="BJ22" i="3"/>
  <c r="BJ28" i="3" s="1"/>
  <c r="BJ26" i="3"/>
  <c r="BJ32" i="3" s="1"/>
  <c r="BJ23" i="3"/>
  <c r="BJ29" i="3" s="1"/>
  <c r="BJ24" i="3"/>
  <c r="BJ30" i="3" s="1"/>
  <c r="BJ25" i="3"/>
  <c r="BJ31" i="3" s="1"/>
  <c r="BI57" i="9"/>
  <c r="BI10" i="4"/>
  <c r="BA25" i="10"/>
  <c r="BA24" i="10"/>
  <c r="BC13" i="10"/>
  <c r="BC17" i="10"/>
  <c r="BF83" i="9"/>
  <c r="BI27" i="3"/>
  <c r="BG58" i="9"/>
  <c r="BE14" i="4"/>
  <c r="BE11" i="4" s="1"/>
  <c r="BE35" i="4" s="1"/>
  <c r="BE11" i="10" s="1"/>
  <c r="BE12" i="10" s="1"/>
  <c r="BB23" i="10"/>
  <c r="BB19" i="10"/>
  <c r="BB21" i="10" s="1"/>
  <c r="AW36" i="13"/>
  <c r="AX35" i="13" s="1"/>
  <c r="BO73" i="5"/>
  <c r="BK17" i="4" s="1"/>
  <c r="BP72" i="5"/>
  <c r="BV60" i="5"/>
  <c r="BU71" i="5"/>
  <c r="BQ12" i="4" s="1"/>
  <c r="BP22" i="10"/>
  <c r="BJ8" i="27"/>
  <c r="BJ17" i="27" s="1"/>
  <c r="BK9" i="27"/>
  <c r="BK18" i="27" s="1"/>
  <c r="BI23" i="13"/>
  <c r="BK13" i="27"/>
  <c r="BK12" i="27"/>
  <c r="BJ24" i="13"/>
  <c r="CB61" i="5"/>
  <c r="BA12" i="14"/>
  <c r="AZ17" i="14" s="1"/>
  <c r="AY17" i="14"/>
  <c r="BC10" i="22" l="1"/>
  <c r="BC14" i="13" s="1"/>
  <c r="BC15" i="13" s="1"/>
  <c r="BC19" i="13" s="1"/>
  <c r="BC10" i="14" s="1"/>
  <c r="BC11" i="14" s="1"/>
  <c r="BC15" i="14" s="1"/>
  <c r="BF11" i="22"/>
  <c r="BF13" i="4"/>
  <c r="BG80" i="9"/>
  <c r="BA26" i="10"/>
  <c r="AX36" i="13"/>
  <c r="AY35" i="13" s="1"/>
  <c r="BG82" i="9"/>
  <c r="BH58" i="9"/>
  <c r="BD13" i="10"/>
  <c r="BD17" i="10"/>
  <c r="BH11" i="13"/>
  <c r="BI33" i="3"/>
  <c r="BH10" i="10"/>
  <c r="BH73" i="9"/>
  <c r="AZ30" i="13"/>
  <c r="BA29" i="13"/>
  <c r="BG83" i="9"/>
  <c r="BD13" i="22"/>
  <c r="BD18" i="10"/>
  <c r="BD12" i="22" s="1"/>
  <c r="AY33" i="13"/>
  <c r="AY34" i="13" s="1"/>
  <c r="AY31" i="13"/>
  <c r="AY32" i="13"/>
  <c r="BB25" i="10"/>
  <c r="BB26" i="10" s="1"/>
  <c r="BB24" i="10"/>
  <c r="BG77" i="9"/>
  <c r="BG84" i="9"/>
  <c r="BF12" i="13"/>
  <c r="BC19" i="10"/>
  <c r="BC21" i="10" s="1"/>
  <c r="BC23" i="10"/>
  <c r="BE13" i="22"/>
  <c r="BE18" i="10"/>
  <c r="BE12" i="22" s="1"/>
  <c r="BH24" i="4"/>
  <c r="BH13" i="13" s="1"/>
  <c r="BG81" i="9"/>
  <c r="BK24" i="3"/>
  <c r="BK30" i="3" s="1"/>
  <c r="BK25" i="3"/>
  <c r="BK31" i="3" s="1"/>
  <c r="BK22" i="3"/>
  <c r="BK28" i="3" s="1"/>
  <c r="BK26" i="3"/>
  <c r="BK32" i="3" s="1"/>
  <c r="BK23" i="3"/>
  <c r="BK29" i="3" s="1"/>
  <c r="BJ10" i="4"/>
  <c r="BJ57" i="9"/>
  <c r="BL8" i="3"/>
  <c r="BM9" i="3"/>
  <c r="BL11" i="3"/>
  <c r="BK9" i="10"/>
  <c r="BK9" i="14" s="1"/>
  <c r="BK9" i="13"/>
  <c r="BK9" i="22"/>
  <c r="BK9" i="4"/>
  <c r="BK32" i="9"/>
  <c r="BK56" i="9" s="1"/>
  <c r="BJ27" i="3"/>
  <c r="BJ8" i="4"/>
  <c r="BJ8" i="13"/>
  <c r="BJ31" i="9"/>
  <c r="BJ55" i="9" s="1"/>
  <c r="BJ8" i="22"/>
  <c r="BJ8" i="10"/>
  <c r="BJ8" i="14" s="1"/>
  <c r="BI64" i="9"/>
  <c r="BI75" i="9"/>
  <c r="BI66" i="9"/>
  <c r="BI76" i="9"/>
  <c r="BI67" i="9"/>
  <c r="BI69" i="9"/>
  <c r="BI59" i="9"/>
  <c r="BI70" i="9"/>
  <c r="BI60" i="9"/>
  <c r="BI71" i="9"/>
  <c r="BI72" i="9"/>
  <c r="BI65" i="9"/>
  <c r="BI62" i="9"/>
  <c r="BI74" i="9"/>
  <c r="BI61" i="9"/>
  <c r="BE13" i="10"/>
  <c r="BE17" i="10"/>
  <c r="BH63" i="9"/>
  <c r="AY16" i="14"/>
  <c r="AX18" i="14"/>
  <c r="BF14" i="4"/>
  <c r="BF11" i="4" s="1"/>
  <c r="BF35" i="4" s="1"/>
  <c r="BF11" i="10" s="1"/>
  <c r="BF12" i="10" s="1"/>
  <c r="BB20" i="10"/>
  <c r="BF79" i="9"/>
  <c r="BI16" i="4"/>
  <c r="BI15" i="4"/>
  <c r="BI19" i="4"/>
  <c r="BI18" i="4"/>
  <c r="BI22" i="4"/>
  <c r="BI20" i="4"/>
  <c r="BI21" i="4"/>
  <c r="BI23" i="4"/>
  <c r="BI30" i="4"/>
  <c r="BI28" i="4"/>
  <c r="BI25" i="4"/>
  <c r="BI33" i="4"/>
  <c r="BI27" i="4"/>
  <c r="BI31" i="4"/>
  <c r="BI26" i="4"/>
  <c r="BI32" i="4"/>
  <c r="BI29" i="4"/>
  <c r="BI34" i="4"/>
  <c r="BH68" i="9"/>
  <c r="BP73" i="5"/>
  <c r="BL17" i="4" s="1"/>
  <c r="BQ72" i="5"/>
  <c r="BQ22" i="10"/>
  <c r="BW60" i="5"/>
  <c r="BV71" i="5"/>
  <c r="BR12" i="4" s="1"/>
  <c r="BL13" i="27"/>
  <c r="BL12" i="27"/>
  <c r="BK24" i="13"/>
  <c r="BL9" i="27"/>
  <c r="BL18" i="27" s="1"/>
  <c r="BK8" i="27"/>
  <c r="BK17" i="27" s="1"/>
  <c r="BJ23" i="13"/>
  <c r="BB12" i="14"/>
  <c r="BH81" i="9" l="1"/>
  <c r="BH80" i="9"/>
  <c r="BC12" i="14"/>
  <c r="BB17" i="14" s="1"/>
  <c r="BD10" i="22"/>
  <c r="BD14" i="13" s="1"/>
  <c r="BD15" i="13" s="1"/>
  <c r="BD19" i="13" s="1"/>
  <c r="BD10" i="14" s="1"/>
  <c r="BD11" i="14" s="1"/>
  <c r="BD15" i="14" s="1"/>
  <c r="BH83" i="9"/>
  <c r="BE10" i="22"/>
  <c r="BE14" i="13" s="1"/>
  <c r="BE15" i="13" s="1"/>
  <c r="BE19" i="13" s="1"/>
  <c r="BE10" i="14" s="1"/>
  <c r="BE11" i="14" s="1"/>
  <c r="BE15" i="14" s="1"/>
  <c r="BH84" i="9"/>
  <c r="BI58" i="9"/>
  <c r="BC20" i="10"/>
  <c r="BG79" i="9"/>
  <c r="AY36" i="13"/>
  <c r="AZ35" i="13" s="1"/>
  <c r="BF13" i="10"/>
  <c r="BF17" i="10"/>
  <c r="BJ15" i="4"/>
  <c r="BJ16" i="4"/>
  <c r="BJ19" i="4"/>
  <c r="BJ18" i="4"/>
  <c r="BJ21" i="4"/>
  <c r="BJ22" i="4"/>
  <c r="BJ20" i="4"/>
  <c r="BJ23" i="4"/>
  <c r="BJ30" i="4"/>
  <c r="BJ32" i="4"/>
  <c r="BJ33" i="4"/>
  <c r="BJ31" i="4"/>
  <c r="BJ28" i="4"/>
  <c r="BJ29" i="4"/>
  <c r="BJ26" i="4"/>
  <c r="BJ27" i="4"/>
  <c r="BJ34" i="4"/>
  <c r="BJ25" i="4"/>
  <c r="BI73" i="9"/>
  <c r="BI84" i="9" s="1"/>
  <c r="BI68" i="9"/>
  <c r="AZ33" i="13"/>
  <c r="AZ34" i="13" s="1"/>
  <c r="AZ31" i="13"/>
  <c r="AZ32" i="13"/>
  <c r="BB29" i="13"/>
  <c r="BA30" i="13"/>
  <c r="BF13" i="22"/>
  <c r="BF18" i="10"/>
  <c r="BF12" i="22" s="1"/>
  <c r="BK27" i="3"/>
  <c r="BC24" i="10"/>
  <c r="BC25" i="10"/>
  <c r="BH77" i="9"/>
  <c r="BI24" i="4"/>
  <c r="BI13" i="13" s="1"/>
  <c r="BL22" i="3"/>
  <c r="BL28" i="3" s="1"/>
  <c r="BL26" i="3"/>
  <c r="BL32" i="3" s="1"/>
  <c r="BL23" i="3"/>
  <c r="BL29" i="3" s="1"/>
  <c r="BL24" i="3"/>
  <c r="BL30" i="3" s="1"/>
  <c r="BL25" i="3"/>
  <c r="BL31" i="3" s="1"/>
  <c r="BK10" i="4"/>
  <c r="BK57" i="9"/>
  <c r="BD19" i="10"/>
  <c r="BD21" i="10" s="1"/>
  <c r="BD23" i="10"/>
  <c r="AY18" i="14"/>
  <c r="AZ16" i="14"/>
  <c r="BN9" i="3"/>
  <c r="BM8" i="3"/>
  <c r="BL9" i="22"/>
  <c r="BL32" i="9"/>
  <c r="BL56" i="9" s="1"/>
  <c r="BL9" i="13"/>
  <c r="BL9" i="4"/>
  <c r="BL9" i="10"/>
  <c r="BL9" i="14" s="1"/>
  <c r="BM11" i="3"/>
  <c r="BH82" i="9"/>
  <c r="BI10" i="10"/>
  <c r="BJ33" i="3"/>
  <c r="BI11" i="13"/>
  <c r="BK8" i="4"/>
  <c r="BK8" i="22"/>
  <c r="BK8" i="13"/>
  <c r="BK8" i="10"/>
  <c r="BK8" i="14" s="1"/>
  <c r="BK31" i="9"/>
  <c r="BK55" i="9" s="1"/>
  <c r="BE19" i="10"/>
  <c r="BE21" i="10" s="1"/>
  <c r="BE23" i="10"/>
  <c r="BI63" i="9"/>
  <c r="BJ69" i="9"/>
  <c r="BJ59" i="9"/>
  <c r="BJ71" i="9"/>
  <c r="BJ62" i="9"/>
  <c r="BJ72" i="9"/>
  <c r="BJ64" i="9"/>
  <c r="BJ74" i="9"/>
  <c r="BJ65" i="9"/>
  <c r="BJ75" i="9"/>
  <c r="BJ76" i="9"/>
  <c r="BJ70" i="9"/>
  <c r="BJ60" i="9"/>
  <c r="BJ66" i="9"/>
  <c r="BJ67" i="9"/>
  <c r="BJ61" i="9"/>
  <c r="BG13" i="4"/>
  <c r="BG11" i="22"/>
  <c r="BG78" i="9"/>
  <c r="BQ73" i="5"/>
  <c r="BM17" i="4" s="1"/>
  <c r="BR72" i="5"/>
  <c r="BR22" i="10"/>
  <c r="BX60" i="5"/>
  <c r="BW71" i="5"/>
  <c r="BS12" i="4" s="1"/>
  <c r="BL8" i="27"/>
  <c r="BL17" i="27" s="1"/>
  <c r="BM9" i="27"/>
  <c r="BM18" i="27" s="1"/>
  <c r="BK23" i="13"/>
  <c r="BM13" i="27"/>
  <c r="BM12" i="27"/>
  <c r="BL24" i="13"/>
  <c r="BA17" i="14"/>
  <c r="BD12" i="14" l="1"/>
  <c r="BE12" i="14" s="1"/>
  <c r="BD17" i="14" s="1"/>
  <c r="BI80" i="9"/>
  <c r="BC26" i="10"/>
  <c r="BH79" i="9"/>
  <c r="BI81" i="9"/>
  <c r="BI82" i="9"/>
  <c r="BI83" i="9"/>
  <c r="BJ68" i="9"/>
  <c r="BL27" i="3"/>
  <c r="BA33" i="13"/>
  <c r="BA34" i="13" s="1"/>
  <c r="BA32" i="13"/>
  <c r="BA31" i="13"/>
  <c r="BD20" i="10"/>
  <c r="BE20" i="10" s="1"/>
  <c r="BJ73" i="9"/>
  <c r="BE25" i="10"/>
  <c r="BE26" i="10" s="1"/>
  <c r="BE24" i="10"/>
  <c r="BL8" i="13"/>
  <c r="BL8" i="4"/>
  <c r="BL8" i="10"/>
  <c r="BL8" i="14" s="1"/>
  <c r="BL31" i="9"/>
  <c r="BL55" i="9" s="1"/>
  <c r="BL8" i="22"/>
  <c r="BB30" i="13"/>
  <c r="BC29" i="13"/>
  <c r="BJ24" i="4"/>
  <c r="BJ13" i="13" s="1"/>
  <c r="BJ63" i="9"/>
  <c r="AZ36" i="13"/>
  <c r="BA35" i="13" s="1"/>
  <c r="BM24" i="3"/>
  <c r="BM30" i="3" s="1"/>
  <c r="BM25" i="3"/>
  <c r="BM31" i="3" s="1"/>
  <c r="BM22" i="3"/>
  <c r="BM28" i="3" s="1"/>
  <c r="BM26" i="3"/>
  <c r="BM32" i="3" s="1"/>
  <c r="BM23" i="3"/>
  <c r="BM29" i="3" s="1"/>
  <c r="BL10" i="4"/>
  <c r="BL57" i="9"/>
  <c r="AZ18" i="14"/>
  <c r="BA16" i="14"/>
  <c r="BK16" i="4"/>
  <c r="BK15" i="4"/>
  <c r="BK19" i="4"/>
  <c r="BK22" i="4"/>
  <c r="BK20" i="4"/>
  <c r="BK18" i="4"/>
  <c r="BK23" i="4"/>
  <c r="BK21" i="4"/>
  <c r="BK30" i="4"/>
  <c r="BK29" i="4"/>
  <c r="BK28" i="4"/>
  <c r="BK34" i="4"/>
  <c r="BK25" i="4"/>
  <c r="BK33" i="4"/>
  <c r="BK26" i="4"/>
  <c r="BK27" i="4"/>
  <c r="BK31" i="4"/>
  <c r="BK32" i="4"/>
  <c r="BO9" i="3"/>
  <c r="BN11" i="3"/>
  <c r="BM9" i="10"/>
  <c r="BM9" i="14" s="1"/>
  <c r="BN8" i="3"/>
  <c r="BM9" i="4"/>
  <c r="BM32" i="9"/>
  <c r="BM56" i="9" s="1"/>
  <c r="BM9" i="13"/>
  <c r="BM9" i="22"/>
  <c r="BH78" i="9"/>
  <c r="BH11" i="22"/>
  <c r="BH12" i="13" s="1"/>
  <c r="BH13" i="4"/>
  <c r="BJ11" i="13"/>
  <c r="BK33" i="3"/>
  <c r="BJ10" i="10"/>
  <c r="BF19" i="10"/>
  <c r="BF21" i="10" s="1"/>
  <c r="BF23" i="10"/>
  <c r="BG14" i="4"/>
  <c r="BG11" i="4" s="1"/>
  <c r="BG35" i="4" s="1"/>
  <c r="BG11" i="10" s="1"/>
  <c r="BG12" i="10" s="1"/>
  <c r="BK64" i="9"/>
  <c r="BK75" i="9"/>
  <c r="BK66" i="9"/>
  <c r="BK76" i="9"/>
  <c r="BK67" i="9"/>
  <c r="BK69" i="9"/>
  <c r="BK59" i="9"/>
  <c r="BK70" i="9"/>
  <c r="BK60" i="9"/>
  <c r="BK65" i="9"/>
  <c r="BK62" i="9"/>
  <c r="BK72" i="9"/>
  <c r="BK71" i="9"/>
  <c r="BK74" i="9"/>
  <c r="BK61" i="9"/>
  <c r="BG12" i="13"/>
  <c r="BJ58" i="9"/>
  <c r="BD24" i="10"/>
  <c r="BD25" i="10"/>
  <c r="BD26" i="10" s="1"/>
  <c r="BF10" i="22"/>
  <c r="BF14" i="13" s="1"/>
  <c r="BF15" i="13" s="1"/>
  <c r="BF19" i="13" s="1"/>
  <c r="BF10" i="14" s="1"/>
  <c r="BF11" i="14" s="1"/>
  <c r="BF15" i="14" s="1"/>
  <c r="BI77" i="9"/>
  <c r="BR73" i="5"/>
  <c r="BN17" i="4" s="1"/>
  <c r="BS72" i="5"/>
  <c r="BY60" i="5"/>
  <c r="BX71" i="5"/>
  <c r="BT12" i="4" s="1"/>
  <c r="BS22" i="10"/>
  <c r="BN13" i="27"/>
  <c r="BN12" i="27"/>
  <c r="BL23" i="13"/>
  <c r="BM24" i="13"/>
  <c r="BM8" i="27"/>
  <c r="BM17" i="27" s="1"/>
  <c r="BN9" i="27"/>
  <c r="BN18" i="27" s="1"/>
  <c r="BC17" i="14" l="1"/>
  <c r="BA36" i="13"/>
  <c r="BB35" i="13" s="1"/>
  <c r="BI79" i="9"/>
  <c r="BJ77" i="9"/>
  <c r="BJ78" i="9" s="1"/>
  <c r="BJ82" i="9"/>
  <c r="BF12" i="14"/>
  <c r="BE17" i="14" s="1"/>
  <c r="BA18" i="14"/>
  <c r="BB16" i="14"/>
  <c r="BJ81" i="9"/>
  <c r="BF20" i="10"/>
  <c r="BN22" i="3"/>
  <c r="BN28" i="3" s="1"/>
  <c r="BN26" i="3"/>
  <c r="BN32" i="3" s="1"/>
  <c r="BN23" i="3"/>
  <c r="BN29" i="3" s="1"/>
  <c r="BN24" i="3"/>
  <c r="BN30" i="3" s="1"/>
  <c r="BN25" i="3"/>
  <c r="BN31" i="3" s="1"/>
  <c r="BM10" i="4"/>
  <c r="BM57" i="9"/>
  <c r="BL69" i="9"/>
  <c r="BL59" i="9"/>
  <c r="BL71" i="9"/>
  <c r="BL62" i="9"/>
  <c r="BL72" i="9"/>
  <c r="BL64" i="9"/>
  <c r="BL74" i="9"/>
  <c r="BL65" i="9"/>
  <c r="BL75" i="9"/>
  <c r="BL76" i="9"/>
  <c r="BL70" i="9"/>
  <c r="BL66" i="9"/>
  <c r="BL67" i="9"/>
  <c r="BL60" i="9"/>
  <c r="BL61" i="9"/>
  <c r="BJ84" i="9"/>
  <c r="BO8" i="3"/>
  <c r="BP9" i="3"/>
  <c r="BO11" i="3"/>
  <c r="BN9" i="13"/>
  <c r="BN32" i="9"/>
  <c r="BN56" i="9" s="1"/>
  <c r="BN9" i="22"/>
  <c r="BN9" i="10"/>
  <c r="BN9" i="14" s="1"/>
  <c r="BN9" i="4"/>
  <c r="BK24" i="4"/>
  <c r="BK13" i="13" s="1"/>
  <c r="BL15" i="4"/>
  <c r="BL16" i="4"/>
  <c r="BL19" i="4"/>
  <c r="BL18" i="4"/>
  <c r="BL20" i="4"/>
  <c r="BL23" i="4"/>
  <c r="BL21" i="4"/>
  <c r="BL22" i="4"/>
  <c r="BL33" i="4"/>
  <c r="BL26" i="4"/>
  <c r="BL27" i="4"/>
  <c r="BL30" i="4"/>
  <c r="BL28" i="4"/>
  <c r="BL32" i="4"/>
  <c r="BL29" i="4"/>
  <c r="BL31" i="4"/>
  <c r="BL34" i="4"/>
  <c r="BL25" i="4"/>
  <c r="BM8" i="13"/>
  <c r="BM8" i="4"/>
  <c r="BM8" i="22"/>
  <c r="BM8" i="10"/>
  <c r="BM8" i="14" s="1"/>
  <c r="BM31" i="9"/>
  <c r="BM55" i="9" s="1"/>
  <c r="BH14" i="4"/>
  <c r="BH11" i="4" s="1"/>
  <c r="BH35" i="4" s="1"/>
  <c r="BH11" i="10" s="1"/>
  <c r="BH12" i="10" s="1"/>
  <c r="BC30" i="13"/>
  <c r="BD29" i="13"/>
  <c r="BJ80" i="9"/>
  <c r="BB33" i="13"/>
  <c r="BB34" i="13" s="1"/>
  <c r="BB32" i="13"/>
  <c r="BB31" i="13"/>
  <c r="BK11" i="13"/>
  <c r="BL33" i="3"/>
  <c r="BK10" i="10"/>
  <c r="BG13" i="10"/>
  <c r="BG17" i="10"/>
  <c r="BI13" i="4"/>
  <c r="BI78" i="9"/>
  <c r="BI11" i="22"/>
  <c r="BK58" i="9"/>
  <c r="BG13" i="22"/>
  <c r="BG18" i="10"/>
  <c r="BG12" i="22" s="1"/>
  <c r="BJ83" i="9"/>
  <c r="BM27" i="3"/>
  <c r="BK63" i="9"/>
  <c r="BK73" i="9"/>
  <c r="BK68" i="9"/>
  <c r="BF24" i="10"/>
  <c r="BF25" i="10"/>
  <c r="BS73" i="5"/>
  <c r="BO17" i="4" s="1"/>
  <c r="BT72" i="5"/>
  <c r="BT22" i="10"/>
  <c r="BZ60" i="5"/>
  <c r="BY71" i="5"/>
  <c r="BU12" i="4" s="1"/>
  <c r="BN24" i="13"/>
  <c r="BM23" i="13"/>
  <c r="BO12" i="27"/>
  <c r="BO13" i="27"/>
  <c r="BN8" i="27"/>
  <c r="BN17" i="27" s="1"/>
  <c r="BO9" i="27"/>
  <c r="BO18" i="27" s="1"/>
  <c r="BJ11" i="22" l="1"/>
  <c r="BJ12" i="13" s="1"/>
  <c r="BJ13" i="4"/>
  <c r="BJ14" i="4" s="1"/>
  <c r="BJ11" i="4" s="1"/>
  <c r="BJ35" i="4" s="1"/>
  <c r="BJ11" i="10" s="1"/>
  <c r="BG10" i="22"/>
  <c r="BG14" i="13" s="1"/>
  <c r="BG15" i="13" s="1"/>
  <c r="BG19" i="13" s="1"/>
  <c r="BG10" i="14" s="1"/>
  <c r="BG11" i="14" s="1"/>
  <c r="BG12" i="14" s="1"/>
  <c r="BF26" i="10"/>
  <c r="BK77" i="9"/>
  <c r="BK13" i="4" s="1"/>
  <c r="BL73" i="9"/>
  <c r="BK80" i="9"/>
  <c r="BH13" i="10"/>
  <c r="BH17" i="10"/>
  <c r="BC33" i="13"/>
  <c r="BC34" i="13" s="1"/>
  <c r="BC32" i="13"/>
  <c r="BC31" i="13"/>
  <c r="BI12" i="13"/>
  <c r="BK82" i="9"/>
  <c r="BM16" i="4"/>
  <c r="BM15" i="4"/>
  <c r="BM19" i="4"/>
  <c r="BM20" i="4"/>
  <c r="BM18" i="4"/>
  <c r="BM22" i="4"/>
  <c r="BM23" i="4"/>
  <c r="BM21" i="4"/>
  <c r="BM27" i="4"/>
  <c r="BM26" i="4"/>
  <c r="BM31" i="4"/>
  <c r="BM25" i="4"/>
  <c r="BM30" i="4"/>
  <c r="BM33" i="4"/>
  <c r="BM29" i="4"/>
  <c r="BM32" i="4"/>
  <c r="BM28" i="4"/>
  <c r="BM34" i="4"/>
  <c r="BL63" i="9"/>
  <c r="BK83" i="9"/>
  <c r="BL10" i="10"/>
  <c r="BM33" i="3"/>
  <c r="BL11" i="13"/>
  <c r="BH13" i="22"/>
  <c r="BH18" i="10"/>
  <c r="BH12" i="22" s="1"/>
  <c r="BB36" i="13"/>
  <c r="BC35" i="13" s="1"/>
  <c r="BJ79" i="9"/>
  <c r="BL24" i="4"/>
  <c r="BL13" i="13" s="1"/>
  <c r="BO24" i="3"/>
  <c r="BO30" i="3" s="1"/>
  <c r="BO25" i="3"/>
  <c r="BO31" i="3" s="1"/>
  <c r="BO22" i="3"/>
  <c r="BO28" i="3" s="1"/>
  <c r="BO26" i="3"/>
  <c r="BO32" i="3" s="1"/>
  <c r="BO23" i="3"/>
  <c r="BO29" i="3" s="1"/>
  <c r="BN57" i="9"/>
  <c r="BN10" i="4"/>
  <c r="BG19" i="10"/>
  <c r="BG23" i="10"/>
  <c r="BP8" i="3"/>
  <c r="BQ9" i="3"/>
  <c r="BP11" i="3"/>
  <c r="BO9" i="13"/>
  <c r="BO9" i="4"/>
  <c r="BO32" i="9"/>
  <c r="BO56" i="9" s="1"/>
  <c r="BO9" i="10"/>
  <c r="BO9" i="14" s="1"/>
  <c r="BO9" i="22"/>
  <c r="BI14" i="4"/>
  <c r="BI11" i="4" s="1"/>
  <c r="BI35" i="4" s="1"/>
  <c r="BI11" i="10" s="1"/>
  <c r="BI12" i="10" s="1"/>
  <c r="BK81" i="9"/>
  <c r="BN8" i="13"/>
  <c r="BN8" i="4"/>
  <c r="BN31" i="9"/>
  <c r="BN55" i="9" s="1"/>
  <c r="BN8" i="22"/>
  <c r="BN8" i="10"/>
  <c r="BN8" i="14" s="1"/>
  <c r="BL58" i="9"/>
  <c r="BN27" i="3"/>
  <c r="BB18" i="14"/>
  <c r="BC16" i="14"/>
  <c r="BM64" i="9"/>
  <c r="BM75" i="9"/>
  <c r="BM66" i="9"/>
  <c r="BM76" i="9"/>
  <c r="BM67" i="9"/>
  <c r="BM69" i="9"/>
  <c r="BM59" i="9"/>
  <c r="BM70" i="9"/>
  <c r="BM60" i="9"/>
  <c r="BM74" i="9"/>
  <c r="BM71" i="9"/>
  <c r="BM62" i="9"/>
  <c r="BM72" i="9"/>
  <c r="BM65" i="9"/>
  <c r="BM61" i="9"/>
  <c r="BK84" i="9"/>
  <c r="BE29" i="13"/>
  <c r="BD30" i="13"/>
  <c r="BL68" i="9"/>
  <c r="BT73" i="5"/>
  <c r="BP17" i="4" s="1"/>
  <c r="BU72" i="5"/>
  <c r="CA60" i="5"/>
  <c r="BZ71" i="5"/>
  <c r="BV12" i="4" s="1"/>
  <c r="BU22" i="10"/>
  <c r="BP12" i="27"/>
  <c r="BP13" i="27"/>
  <c r="BN23" i="13"/>
  <c r="BP9" i="27"/>
  <c r="BP18" i="27" s="1"/>
  <c r="BO8" i="27"/>
  <c r="BO17" i="27" s="1"/>
  <c r="BO24" i="13"/>
  <c r="BK11" i="22" l="1"/>
  <c r="BK12" i="13" s="1"/>
  <c r="BG15" i="14"/>
  <c r="BL84" i="9"/>
  <c r="BH10" i="22"/>
  <c r="BH14" i="13" s="1"/>
  <c r="BH15" i="13" s="1"/>
  <c r="BH19" i="13" s="1"/>
  <c r="BH10" i="14" s="1"/>
  <c r="BH11" i="14" s="1"/>
  <c r="BH15" i="14" s="1"/>
  <c r="BK78" i="9"/>
  <c r="BL80" i="9"/>
  <c r="BL77" i="9"/>
  <c r="BL13" i="4" s="1"/>
  <c r="BM24" i="4"/>
  <c r="BM13" i="13" s="1"/>
  <c r="BC36" i="13"/>
  <c r="BD35" i="13" s="1"/>
  <c r="BM73" i="9"/>
  <c r="BM63" i="9"/>
  <c r="BL81" i="9"/>
  <c r="BK79" i="9"/>
  <c r="BJ12" i="10"/>
  <c r="BL11" i="22"/>
  <c r="BG25" i="10"/>
  <c r="BG24" i="10"/>
  <c r="BM58" i="9"/>
  <c r="BP22" i="3"/>
  <c r="BP28" i="3" s="1"/>
  <c r="BP26" i="3"/>
  <c r="BP32" i="3" s="1"/>
  <c r="BP23" i="3"/>
  <c r="BP29" i="3" s="1"/>
  <c r="BP24" i="3"/>
  <c r="BP30" i="3" s="1"/>
  <c r="BP25" i="3"/>
  <c r="BP31" i="3" s="1"/>
  <c r="BO10" i="4"/>
  <c r="BO57" i="9"/>
  <c r="BE30" i="13"/>
  <c r="BF29" i="13"/>
  <c r="BM68" i="9"/>
  <c r="BM10" i="10"/>
  <c r="BN33" i="3"/>
  <c r="BM11" i="13"/>
  <c r="BI13" i="10"/>
  <c r="BI17" i="10"/>
  <c r="BR9" i="3"/>
  <c r="BQ11" i="3"/>
  <c r="BP9" i="4"/>
  <c r="BP9" i="10"/>
  <c r="BP9" i="14" s="1"/>
  <c r="BQ8" i="3"/>
  <c r="BP9" i="22"/>
  <c r="BP32" i="9"/>
  <c r="BP56" i="9" s="1"/>
  <c r="BP9" i="13"/>
  <c r="BK14" i="4"/>
  <c r="BK11" i="4" s="1"/>
  <c r="BK35" i="4" s="1"/>
  <c r="BK11" i="10" s="1"/>
  <c r="BI13" i="22"/>
  <c r="BI18" i="10"/>
  <c r="BI12" i="22" s="1"/>
  <c r="BO8" i="13"/>
  <c r="BO8" i="4"/>
  <c r="BO31" i="9"/>
  <c r="BO55" i="9" s="1"/>
  <c r="BO8" i="10"/>
  <c r="BO8" i="22"/>
  <c r="BL83" i="9"/>
  <c r="BF17" i="14"/>
  <c r="BC18" i="14"/>
  <c r="BD16" i="14"/>
  <c r="BG20" i="10"/>
  <c r="BG21" i="10"/>
  <c r="BN15" i="4"/>
  <c r="BN16" i="4"/>
  <c r="BN19" i="4"/>
  <c r="BN23" i="4"/>
  <c r="BN21" i="4"/>
  <c r="BN18" i="4"/>
  <c r="BN22" i="4"/>
  <c r="BN20" i="4"/>
  <c r="BN30" i="4"/>
  <c r="BN29" i="4"/>
  <c r="BN34" i="4"/>
  <c r="BN31" i="4"/>
  <c r="BN26" i="4"/>
  <c r="BN32" i="4"/>
  <c r="BN25" i="4"/>
  <c r="BN33" i="4"/>
  <c r="BN27" i="4"/>
  <c r="BN28" i="4"/>
  <c r="BL82" i="9"/>
  <c r="BO27" i="3"/>
  <c r="BN69" i="9"/>
  <c r="BN59" i="9"/>
  <c r="BN71" i="9"/>
  <c r="BN62" i="9"/>
  <c r="BN72" i="9"/>
  <c r="BN64" i="9"/>
  <c r="BN74" i="9"/>
  <c r="BN65" i="9"/>
  <c r="BN70" i="9"/>
  <c r="BN66" i="9"/>
  <c r="BN67" i="9"/>
  <c r="BN60" i="9"/>
  <c r="BN76" i="9"/>
  <c r="BN75" i="9"/>
  <c r="BN61" i="9"/>
  <c r="BH19" i="10"/>
  <c r="BH21" i="10" s="1"/>
  <c r="BH23" i="10"/>
  <c r="BD33" i="13"/>
  <c r="BD34" i="13" s="1"/>
  <c r="BD32" i="13"/>
  <c r="BD31" i="13"/>
  <c r="BJ13" i="22"/>
  <c r="BJ18" i="10"/>
  <c r="BJ12" i="22" s="1"/>
  <c r="BU73" i="5"/>
  <c r="BQ17" i="4" s="1"/>
  <c r="BV72" i="5"/>
  <c r="BV22" i="10"/>
  <c r="CB60" i="5"/>
  <c r="CB71" i="5" s="1"/>
  <c r="BX12" i="4" s="1"/>
  <c r="CA71" i="5"/>
  <c r="BW12" i="4" s="1"/>
  <c r="BP8" i="27"/>
  <c r="BP17" i="27" s="1"/>
  <c r="BQ9" i="27"/>
  <c r="BQ18" i="27" s="1"/>
  <c r="BO23" i="13"/>
  <c r="BP24" i="13"/>
  <c r="BQ12" i="27"/>
  <c r="BQ13" i="27"/>
  <c r="BL78" i="9" l="1"/>
  <c r="BH12" i="14"/>
  <c r="BG17" i="14" s="1"/>
  <c r="BM84" i="9"/>
  <c r="BI10" i="22"/>
  <c r="BI14" i="13" s="1"/>
  <c r="BI15" i="13" s="1"/>
  <c r="BI19" i="13" s="1"/>
  <c r="BI10" i="14" s="1"/>
  <c r="BI11" i="14" s="1"/>
  <c r="BI15" i="14" s="1"/>
  <c r="BM80" i="9"/>
  <c r="BM82" i="9"/>
  <c r="BM83" i="9"/>
  <c r="BM77" i="9"/>
  <c r="BM13" i="4" s="1"/>
  <c r="BJ10" i="22"/>
  <c r="BJ14" i="13" s="1"/>
  <c r="BJ15" i="13" s="1"/>
  <c r="BJ19" i="13" s="1"/>
  <c r="BJ10" i="14" s="1"/>
  <c r="BJ11" i="14" s="1"/>
  <c r="BJ15" i="14" s="1"/>
  <c r="BL79" i="9"/>
  <c r="BH20" i="10"/>
  <c r="BK12" i="10"/>
  <c r="BG29" i="13"/>
  <c r="BF30" i="13"/>
  <c r="BG26" i="10"/>
  <c r="BN24" i="4"/>
  <c r="BN13" i="13" s="1"/>
  <c r="BE33" i="13"/>
  <c r="BE34" i="13" s="1"/>
  <c r="BE31" i="13"/>
  <c r="BE32" i="13"/>
  <c r="BP8" i="13"/>
  <c r="BP31" i="9"/>
  <c r="BP55" i="9" s="1"/>
  <c r="BP8" i="22"/>
  <c r="BP8" i="4"/>
  <c r="BP8" i="10"/>
  <c r="BP8" i="14" s="1"/>
  <c r="BH24" i="10"/>
  <c r="BH25" i="10"/>
  <c r="BH26" i="10" s="1"/>
  <c r="BN58" i="9"/>
  <c r="BM81" i="9"/>
  <c r="BP27" i="3"/>
  <c r="BL14" i="4"/>
  <c r="BL11" i="4" s="1"/>
  <c r="BL35" i="4" s="1"/>
  <c r="BL11" i="10" s="1"/>
  <c r="BL12" i="10" s="1"/>
  <c r="BN68" i="9"/>
  <c r="BE16" i="14"/>
  <c r="BF16" i="14" s="1"/>
  <c r="BE18" i="14" s="1"/>
  <c r="BD18" i="14"/>
  <c r="BO8" i="14"/>
  <c r="BQ25" i="3"/>
  <c r="BQ31" i="3" s="1"/>
  <c r="BQ22" i="3"/>
  <c r="BQ28" i="3" s="1"/>
  <c r="BQ26" i="3"/>
  <c r="BQ32" i="3" s="1"/>
  <c r="BQ23" i="3"/>
  <c r="BQ29" i="3" s="1"/>
  <c r="BQ24" i="3"/>
  <c r="BQ30" i="3" s="1"/>
  <c r="BP57" i="9"/>
  <c r="BP10" i="4"/>
  <c r="BD36" i="13"/>
  <c r="BE35" i="13" s="1"/>
  <c r="BL12" i="13"/>
  <c r="BK13" i="22"/>
  <c r="BK18" i="10"/>
  <c r="BK12" i="22" s="1"/>
  <c r="BS9" i="3"/>
  <c r="BR8" i="3"/>
  <c r="BR11" i="3"/>
  <c r="BQ9" i="13"/>
  <c r="BQ9" i="22"/>
  <c r="BQ9" i="4"/>
  <c r="BQ32" i="9"/>
  <c r="BQ56" i="9" s="1"/>
  <c r="BQ9" i="10"/>
  <c r="BQ9" i="14" s="1"/>
  <c r="BO64" i="9"/>
  <c r="BO75" i="9"/>
  <c r="BO76" i="9"/>
  <c r="BO67" i="9"/>
  <c r="BO69" i="9"/>
  <c r="BO59" i="9"/>
  <c r="BO70" i="9"/>
  <c r="BO60" i="9"/>
  <c r="BO74" i="9"/>
  <c r="BO71" i="9"/>
  <c r="BO72" i="9"/>
  <c r="BO65" i="9"/>
  <c r="BO62" i="9"/>
  <c r="BO61" i="9"/>
  <c r="BO66" i="9"/>
  <c r="BN11" i="13"/>
  <c r="BN10" i="10"/>
  <c r="BO33" i="3"/>
  <c r="BN73" i="9"/>
  <c r="BI19" i="10"/>
  <c r="BI21" i="10" s="1"/>
  <c r="BI23" i="10"/>
  <c r="BO15" i="4"/>
  <c r="BO16" i="4"/>
  <c r="BO19" i="4"/>
  <c r="BO18" i="4"/>
  <c r="BO20" i="4"/>
  <c r="BO21" i="4"/>
  <c r="BO23" i="4"/>
  <c r="BO22" i="4"/>
  <c r="BO27" i="4"/>
  <c r="BO33" i="4"/>
  <c r="BO25" i="4"/>
  <c r="BO31" i="4"/>
  <c r="BO26" i="4"/>
  <c r="BO32" i="4"/>
  <c r="BO28" i="4"/>
  <c r="BO30" i="4"/>
  <c r="BO34" i="4"/>
  <c r="BO29" i="4"/>
  <c r="BN63" i="9"/>
  <c r="BJ13" i="10"/>
  <c r="BJ17" i="10"/>
  <c r="BV73" i="5"/>
  <c r="BR17" i="4" s="1"/>
  <c r="BW72" i="5"/>
  <c r="BW22" i="10"/>
  <c r="BX22" i="10"/>
  <c r="BQ8" i="27"/>
  <c r="BQ17" i="27" s="1"/>
  <c r="BR9" i="27"/>
  <c r="BR18" i="27" s="1"/>
  <c r="BQ24" i="13"/>
  <c r="BR13" i="27"/>
  <c r="BR12" i="27"/>
  <c r="BP23" i="13"/>
  <c r="D45" i="10" l="1"/>
  <c r="E45" i="10"/>
  <c r="F45" i="10"/>
  <c r="G45" i="10"/>
  <c r="H45" i="10"/>
  <c r="C45" i="10"/>
  <c r="BI12" i="14"/>
  <c r="BJ12" i="14" s="1"/>
  <c r="BM79" i="9"/>
  <c r="BE36" i="13"/>
  <c r="BF35" i="13" s="1"/>
  <c r="BO68" i="9"/>
  <c r="BN82" i="9"/>
  <c r="BM78" i="9"/>
  <c r="BM11" i="22"/>
  <c r="BM12" i="13" s="1"/>
  <c r="BN80" i="9"/>
  <c r="BN83" i="9"/>
  <c r="BG16" i="14"/>
  <c r="BF18" i="14" s="1"/>
  <c r="BF33" i="13"/>
  <c r="BF34" i="13" s="1"/>
  <c r="BF32" i="13"/>
  <c r="BF31" i="13"/>
  <c r="BI24" i="10"/>
  <c r="BI25" i="10"/>
  <c r="BI26" i="10" s="1"/>
  <c r="BL13" i="10"/>
  <c r="BL17" i="10"/>
  <c r="BH29" i="13"/>
  <c r="BG30" i="13"/>
  <c r="BR24" i="3"/>
  <c r="BR30" i="3" s="1"/>
  <c r="BR25" i="3"/>
  <c r="BR31" i="3" s="1"/>
  <c r="BR26" i="3"/>
  <c r="BR32" i="3" s="1"/>
  <c r="BR22" i="3"/>
  <c r="BR28" i="3" s="1"/>
  <c r="BQ10" i="4"/>
  <c r="BR23" i="3"/>
  <c r="BR29" i="3" s="1"/>
  <c r="BQ57" i="9"/>
  <c r="BP16" i="4"/>
  <c r="BP15" i="4"/>
  <c r="BP19" i="4"/>
  <c r="BP21" i="4"/>
  <c r="BP23" i="4"/>
  <c r="BP18" i="4"/>
  <c r="BP20" i="4"/>
  <c r="BP22" i="4"/>
  <c r="BP32" i="4"/>
  <c r="BP28" i="4"/>
  <c r="BP33" i="4"/>
  <c r="BP26" i="4"/>
  <c r="BP30" i="4"/>
  <c r="BP29" i="4"/>
  <c r="BP31" i="4"/>
  <c r="BP27" i="4"/>
  <c r="BP25" i="4"/>
  <c r="BP34" i="4"/>
  <c r="BL13" i="22"/>
  <c r="BL18" i="10"/>
  <c r="BL12" i="22" s="1"/>
  <c r="BP76" i="9"/>
  <c r="BP67" i="9"/>
  <c r="BP71" i="9"/>
  <c r="BP72" i="9"/>
  <c r="BP64" i="9"/>
  <c r="BP75" i="9"/>
  <c r="BP69" i="9"/>
  <c r="BP70" i="9"/>
  <c r="BP65" i="9"/>
  <c r="BP66" i="9"/>
  <c r="BP74" i="9"/>
  <c r="BP62" i="9"/>
  <c r="BP59" i="9"/>
  <c r="BP60" i="9"/>
  <c r="BP61" i="9"/>
  <c r="BO10" i="10"/>
  <c r="BP33" i="3"/>
  <c r="BO11" i="13"/>
  <c r="BM14" i="4"/>
  <c r="BM11" i="4" s="1"/>
  <c r="BM35" i="4" s="1"/>
  <c r="BM11" i="10" s="1"/>
  <c r="BM12" i="10" s="1"/>
  <c r="BO73" i="9"/>
  <c r="BO63" i="9"/>
  <c r="BS8" i="3"/>
  <c r="BS11" i="3"/>
  <c r="BT9" i="3"/>
  <c r="BR9" i="13"/>
  <c r="BR9" i="22"/>
  <c r="BR9" i="10"/>
  <c r="BR9" i="14" s="1"/>
  <c r="BR9" i="4"/>
  <c r="BR32" i="9"/>
  <c r="BR56" i="9" s="1"/>
  <c r="BQ8" i="13"/>
  <c r="BQ8" i="4"/>
  <c r="BQ31" i="9"/>
  <c r="BQ55" i="9" s="1"/>
  <c r="BQ8" i="22"/>
  <c r="BQ8" i="10"/>
  <c r="BO24" i="4"/>
  <c r="BO13" i="13" s="1"/>
  <c r="BN77" i="9"/>
  <c r="BN81" i="9"/>
  <c r="BK10" i="22"/>
  <c r="BK14" i="13" s="1"/>
  <c r="BK15" i="13" s="1"/>
  <c r="BK19" i="13" s="1"/>
  <c r="BK10" i="14" s="1"/>
  <c r="BK11" i="14" s="1"/>
  <c r="BK15" i="14" s="1"/>
  <c r="BI20" i="10"/>
  <c r="BJ19" i="10"/>
  <c r="BJ21" i="10" s="1"/>
  <c r="BJ23" i="10"/>
  <c r="BN84" i="9"/>
  <c r="BO58" i="9"/>
  <c r="BQ27" i="3"/>
  <c r="BK13" i="10"/>
  <c r="BK17" i="10"/>
  <c r="BX72" i="5"/>
  <c r="BW73" i="5"/>
  <c r="BS17" i="4" s="1"/>
  <c r="BR24" i="13"/>
  <c r="BQ23" i="13"/>
  <c r="BR8" i="27"/>
  <c r="BR17" i="27" s="1"/>
  <c r="BS9" i="27"/>
  <c r="BS18" i="27" s="1"/>
  <c r="BS13" i="27"/>
  <c r="BS12" i="27"/>
  <c r="I45" i="10" l="1"/>
  <c r="BH17" i="14"/>
  <c r="BH16" i="14"/>
  <c r="BG18" i="14" s="1"/>
  <c r="BO80" i="9"/>
  <c r="BJ20" i="10"/>
  <c r="BP58" i="9"/>
  <c r="BO77" i="9"/>
  <c r="BO13" i="4" s="1"/>
  <c r="BO84" i="9"/>
  <c r="BP73" i="9"/>
  <c r="BN79" i="9"/>
  <c r="BP63" i="9"/>
  <c r="BJ25" i="10"/>
  <c r="BJ26" i="10" s="1"/>
  <c r="BJ24" i="10"/>
  <c r="BR8" i="4"/>
  <c r="BR8" i="13"/>
  <c r="BR8" i="10"/>
  <c r="BR8" i="22"/>
  <c r="BR31" i="9"/>
  <c r="BR55" i="9" s="1"/>
  <c r="BN13" i="4"/>
  <c r="BN11" i="22"/>
  <c r="BN78" i="9"/>
  <c r="BS22" i="3"/>
  <c r="BS28" i="3" s="1"/>
  <c r="BS26" i="3"/>
  <c r="BS32" i="3" s="1"/>
  <c r="BS23" i="3"/>
  <c r="BS29" i="3" s="1"/>
  <c r="BS24" i="3"/>
  <c r="BS30" i="3" s="1"/>
  <c r="BR10" i="4"/>
  <c r="BR57" i="9"/>
  <c r="BS25" i="3"/>
  <c r="BS31" i="3" s="1"/>
  <c r="BO83" i="9"/>
  <c r="BP24" i="4"/>
  <c r="BP13" i="13" s="1"/>
  <c r="BG33" i="13"/>
  <c r="BG34" i="13" s="1"/>
  <c r="BG31" i="13"/>
  <c r="BG32" i="13"/>
  <c r="BQ8" i="14"/>
  <c r="BM13" i="10"/>
  <c r="BM17" i="10"/>
  <c r="BI29" i="13"/>
  <c r="BH30" i="13"/>
  <c r="BK19" i="10"/>
  <c r="BK21" i="10" s="1"/>
  <c r="BK23" i="10"/>
  <c r="BQ72" i="9"/>
  <c r="BQ69" i="9"/>
  <c r="BQ59" i="9"/>
  <c r="BQ65" i="9"/>
  <c r="BQ66" i="9"/>
  <c r="BQ74" i="9"/>
  <c r="BQ67" i="9"/>
  <c r="BQ75" i="9"/>
  <c r="BQ60" i="9"/>
  <c r="BQ76" i="9"/>
  <c r="BQ62" i="9"/>
  <c r="BQ64" i="9"/>
  <c r="BQ71" i="9"/>
  <c r="BQ70" i="9"/>
  <c r="BQ61" i="9"/>
  <c r="BP10" i="10"/>
  <c r="BP11" i="13"/>
  <c r="BQ33" i="3"/>
  <c r="BM13" i="22"/>
  <c r="BM18" i="10"/>
  <c r="BM12" i="22" s="1"/>
  <c r="BO82" i="9"/>
  <c r="BI17" i="14"/>
  <c r="BK12" i="14"/>
  <c r="BQ15" i="4"/>
  <c r="BQ16" i="4"/>
  <c r="BQ19" i="4"/>
  <c r="BQ18" i="4"/>
  <c r="BQ22" i="4"/>
  <c r="BQ20" i="4"/>
  <c r="BQ21" i="4"/>
  <c r="BQ23" i="4"/>
  <c r="BQ28" i="4"/>
  <c r="BQ30" i="4"/>
  <c r="BQ25" i="4"/>
  <c r="BQ32" i="4"/>
  <c r="BQ31" i="4"/>
  <c r="BQ29" i="4"/>
  <c r="BQ33" i="4"/>
  <c r="BQ26" i="4"/>
  <c r="BQ34" i="4"/>
  <c r="BQ27" i="4"/>
  <c r="BL19" i="10"/>
  <c r="BL21" i="10" s="1"/>
  <c r="BL23" i="10"/>
  <c r="BP68" i="9"/>
  <c r="BR27" i="3"/>
  <c r="BT11" i="3"/>
  <c r="BT8" i="3"/>
  <c r="BS9" i="13"/>
  <c r="BU9" i="3"/>
  <c r="BS9" i="10"/>
  <c r="BS9" i="14" s="1"/>
  <c r="BS32" i="9"/>
  <c r="BS56" i="9" s="1"/>
  <c r="BS9" i="4"/>
  <c r="BS9" i="22"/>
  <c r="BO81" i="9"/>
  <c r="BL10" i="22"/>
  <c r="BL14" i="13" s="1"/>
  <c r="BL15" i="13" s="1"/>
  <c r="BL19" i="13" s="1"/>
  <c r="BL10" i="14" s="1"/>
  <c r="BL11" i="14" s="1"/>
  <c r="BL15" i="14" s="1"/>
  <c r="BF36" i="13"/>
  <c r="BG35" i="13" s="1"/>
  <c r="BX73" i="5"/>
  <c r="BT17" i="4" s="1"/>
  <c r="BY72" i="5"/>
  <c r="BT9" i="27"/>
  <c r="BT18" i="27" s="1"/>
  <c r="BS8" i="27"/>
  <c r="BS17" i="27" s="1"/>
  <c r="BT12" i="27"/>
  <c r="BT13" i="27"/>
  <c r="BS24" i="13"/>
  <c r="BR23" i="13"/>
  <c r="BP82" i="9" l="1"/>
  <c r="BI16" i="14"/>
  <c r="BH18" i="14" s="1"/>
  <c r="BO78" i="9"/>
  <c r="BO11" i="22"/>
  <c r="BO12" i="13" s="1"/>
  <c r="BP84" i="9"/>
  <c r="BP80" i="9"/>
  <c r="BP83" i="9"/>
  <c r="BO79" i="9"/>
  <c r="BP77" i="9"/>
  <c r="BP13" i="4" s="1"/>
  <c r="BK20" i="10"/>
  <c r="BL20" i="10" s="1"/>
  <c r="BQ63" i="9"/>
  <c r="BQ68" i="9"/>
  <c r="BS27" i="3"/>
  <c r="BR11" i="13" s="1"/>
  <c r="BG36" i="13"/>
  <c r="BH35" i="13" s="1"/>
  <c r="BS8" i="4"/>
  <c r="BS8" i="13"/>
  <c r="BS8" i="22"/>
  <c r="BS8" i="10"/>
  <c r="BS31" i="9"/>
  <c r="BS55" i="9" s="1"/>
  <c r="BH33" i="13"/>
  <c r="BH34" i="13" s="1"/>
  <c r="BH32" i="13"/>
  <c r="BH31" i="13"/>
  <c r="BT24" i="3"/>
  <c r="BT30" i="3" s="1"/>
  <c r="BT25" i="3"/>
  <c r="BT31" i="3" s="1"/>
  <c r="BT26" i="3"/>
  <c r="BT32" i="3" s="1"/>
  <c r="BT23" i="3"/>
  <c r="BT29" i="3" s="1"/>
  <c r="BT22" i="3"/>
  <c r="BT28" i="3" s="1"/>
  <c r="BS10" i="4"/>
  <c r="BS57" i="9"/>
  <c r="BQ24" i="4"/>
  <c r="BQ13" i="13" s="1"/>
  <c r="BI30" i="13"/>
  <c r="BJ29" i="13"/>
  <c r="BN12" i="13"/>
  <c r="BM23" i="10"/>
  <c r="BM19" i="10"/>
  <c r="BM21" i="10" s="1"/>
  <c r="BR76" i="9"/>
  <c r="BR67" i="9"/>
  <c r="BR64" i="9"/>
  <c r="BR75" i="9"/>
  <c r="BR60" i="9"/>
  <c r="BR69" i="9"/>
  <c r="BR62" i="9"/>
  <c r="BR70" i="9"/>
  <c r="BR71" i="9"/>
  <c r="BR72" i="9"/>
  <c r="BR74" i="9"/>
  <c r="BR59" i="9"/>
  <c r="BR66" i="9"/>
  <c r="BR65" i="9"/>
  <c r="BR61" i="9"/>
  <c r="BN14" i="4"/>
  <c r="BN11" i="4" s="1"/>
  <c r="BN35" i="4" s="1"/>
  <c r="BN11" i="10" s="1"/>
  <c r="BN12" i="10" s="1"/>
  <c r="BJ17" i="14"/>
  <c r="BL12" i="14"/>
  <c r="BQ73" i="9"/>
  <c r="BO14" i="4"/>
  <c r="BO11" i="4" s="1"/>
  <c r="BO35" i="4" s="1"/>
  <c r="BO11" i="10" s="1"/>
  <c r="BO12" i="10" s="1"/>
  <c r="BR16" i="4"/>
  <c r="BR15" i="4"/>
  <c r="BR19" i="4"/>
  <c r="BR18" i="4"/>
  <c r="BR21" i="4"/>
  <c r="BR22" i="4"/>
  <c r="BR23" i="4"/>
  <c r="BR20" i="4"/>
  <c r="BR31" i="4"/>
  <c r="BR34" i="4"/>
  <c r="BR33" i="4"/>
  <c r="BR29" i="4"/>
  <c r="BR28" i="4"/>
  <c r="BR30" i="4"/>
  <c r="BR32" i="4"/>
  <c r="BR25" i="4"/>
  <c r="BR26" i="4"/>
  <c r="BR27" i="4"/>
  <c r="BL24" i="10"/>
  <c r="BL25" i="10"/>
  <c r="BL26" i="10" s="1"/>
  <c r="BQ10" i="10"/>
  <c r="BQ11" i="13"/>
  <c r="BR33" i="3"/>
  <c r="BP81" i="9"/>
  <c r="BK24" i="10"/>
  <c r="BK25" i="10"/>
  <c r="BV9" i="3"/>
  <c r="BT9" i="22"/>
  <c r="BT32" i="9"/>
  <c r="BT56" i="9" s="1"/>
  <c r="BU11" i="3"/>
  <c r="BT9" i="13"/>
  <c r="BT9" i="4"/>
  <c r="BT9" i="10"/>
  <c r="BT9" i="14" s="1"/>
  <c r="BU8" i="3"/>
  <c r="BM10" i="22"/>
  <c r="BM14" i="13" s="1"/>
  <c r="BM15" i="13" s="1"/>
  <c r="BM19" i="13" s="1"/>
  <c r="BM10" i="14" s="1"/>
  <c r="BM11" i="14" s="1"/>
  <c r="BM15" i="14" s="1"/>
  <c r="BQ58" i="9"/>
  <c r="BR8" i="14"/>
  <c r="BY73" i="5"/>
  <c r="BU17" i="4" s="1"/>
  <c r="BZ72" i="5"/>
  <c r="BS23" i="13"/>
  <c r="BT24" i="13"/>
  <c r="BU13" i="27"/>
  <c r="BU12" i="27"/>
  <c r="BT8" i="27"/>
  <c r="BT17" i="27" s="1"/>
  <c r="BU9" i="27"/>
  <c r="BU18" i="27" s="1"/>
  <c r="BP79" i="9" l="1"/>
  <c r="BJ16" i="14"/>
  <c r="BI18" i="14" s="1"/>
  <c r="BQ81" i="9"/>
  <c r="BP11" i="22"/>
  <c r="BR73" i="9"/>
  <c r="BP78" i="9"/>
  <c r="BS33" i="3"/>
  <c r="BR10" i="10"/>
  <c r="BR63" i="9"/>
  <c r="BH36" i="13"/>
  <c r="BI35" i="13" s="1"/>
  <c r="BN13" i="10"/>
  <c r="BN17" i="10"/>
  <c r="BJ30" i="13"/>
  <c r="BK29" i="13"/>
  <c r="BQ84" i="9"/>
  <c r="BI33" i="13"/>
  <c r="BI34" i="13" s="1"/>
  <c r="BI32" i="13"/>
  <c r="BI31" i="13"/>
  <c r="BV8" i="3"/>
  <c r="BV11" i="3"/>
  <c r="BW9" i="3"/>
  <c r="BU9" i="22"/>
  <c r="BU32" i="9"/>
  <c r="BU56" i="9" s="1"/>
  <c r="BU9" i="10"/>
  <c r="BU9" i="14" s="1"/>
  <c r="BU9" i="13"/>
  <c r="BU9" i="4"/>
  <c r="BQ80" i="9"/>
  <c r="BN13" i="22"/>
  <c r="BN18" i="10"/>
  <c r="BN12" i="22" s="1"/>
  <c r="BT8" i="13"/>
  <c r="BT8" i="4"/>
  <c r="BT8" i="22"/>
  <c r="BT8" i="10"/>
  <c r="BT31" i="9"/>
  <c r="BT55" i="9" s="1"/>
  <c r="BR58" i="9"/>
  <c r="BM25" i="10"/>
  <c r="BM24" i="10"/>
  <c r="BP12" i="13"/>
  <c r="BS72" i="9"/>
  <c r="BS69" i="9"/>
  <c r="BS59" i="9"/>
  <c r="BS71" i="9"/>
  <c r="BS64" i="9"/>
  <c r="BS65" i="9"/>
  <c r="BS66" i="9"/>
  <c r="BS74" i="9"/>
  <c r="BS67" i="9"/>
  <c r="BS70" i="9"/>
  <c r="BS75" i="9"/>
  <c r="BS76" i="9"/>
  <c r="BS60" i="9"/>
  <c r="BS62" i="9"/>
  <c r="BS61" i="9"/>
  <c r="BQ82" i="9"/>
  <c r="BR24" i="4"/>
  <c r="BR13" i="13" s="1"/>
  <c r="BO13" i="22"/>
  <c r="BO18" i="10"/>
  <c r="BO12" i="22" s="1"/>
  <c r="BM20" i="10"/>
  <c r="BS16" i="4"/>
  <c r="BS19" i="4"/>
  <c r="BS15" i="4"/>
  <c r="BS22" i="4"/>
  <c r="BS20" i="4"/>
  <c r="BS18" i="4"/>
  <c r="BS21" i="4"/>
  <c r="BS23" i="4"/>
  <c r="BS25" i="4"/>
  <c r="BS33" i="4"/>
  <c r="BS26" i="4"/>
  <c r="BS28" i="4"/>
  <c r="BS27" i="4"/>
  <c r="BS30" i="4"/>
  <c r="BS29" i="4"/>
  <c r="BS32" i="4"/>
  <c r="BS31" i="4"/>
  <c r="BS34" i="4"/>
  <c r="BP14" i="4"/>
  <c r="BU24" i="3"/>
  <c r="BU30" i="3" s="1"/>
  <c r="BU25" i="3"/>
  <c r="BU31" i="3" s="1"/>
  <c r="BU22" i="3"/>
  <c r="BU28" i="3" s="1"/>
  <c r="BU26" i="3"/>
  <c r="BU32" i="3" s="1"/>
  <c r="BU23" i="3"/>
  <c r="BU29" i="3" s="1"/>
  <c r="BT10" i="4"/>
  <c r="BT57" i="9"/>
  <c r="BK17" i="14"/>
  <c r="BM12" i="14"/>
  <c r="BK26" i="10"/>
  <c r="BQ83" i="9"/>
  <c r="BO13" i="10"/>
  <c r="BO17" i="10"/>
  <c r="BR68" i="9"/>
  <c r="BQ77" i="9"/>
  <c r="BT27" i="3"/>
  <c r="BS8" i="14"/>
  <c r="BZ73" i="5"/>
  <c r="BV17" i="4" s="1"/>
  <c r="CA72" i="5"/>
  <c r="BU8" i="27"/>
  <c r="BU17" i="27" s="1"/>
  <c r="BV9" i="27"/>
  <c r="BV18" i="27" s="1"/>
  <c r="BV12" i="27"/>
  <c r="BV13" i="27"/>
  <c r="BU24" i="13"/>
  <c r="BT23" i="13"/>
  <c r="BK16" i="14" l="1"/>
  <c r="BJ18" i="14" s="1"/>
  <c r="BM26" i="10"/>
  <c r="BO10" i="22"/>
  <c r="BO14" i="13" s="1"/>
  <c r="BO15" i="13" s="1"/>
  <c r="BO19" i="13" s="1"/>
  <c r="BO10" i="14" s="1"/>
  <c r="BO11" i="14" s="1"/>
  <c r="BO15" i="14" s="1"/>
  <c r="BR80" i="9"/>
  <c r="BR84" i="9"/>
  <c r="BR82" i="9"/>
  <c r="BS73" i="9"/>
  <c r="BR81" i="9"/>
  <c r="BN10" i="22"/>
  <c r="BN14" i="13" s="1"/>
  <c r="BN15" i="13" s="1"/>
  <c r="BN19" i="13" s="1"/>
  <c r="BN10" i="14" s="1"/>
  <c r="BN11" i="14" s="1"/>
  <c r="BN15" i="14" s="1"/>
  <c r="BS68" i="9"/>
  <c r="BQ79" i="9"/>
  <c r="BT15" i="4"/>
  <c r="BT16" i="4"/>
  <c r="BT18" i="4"/>
  <c r="BT20" i="4"/>
  <c r="BT23" i="4"/>
  <c r="BT21" i="4"/>
  <c r="BT19" i="4"/>
  <c r="BT22" i="4"/>
  <c r="BT29" i="4"/>
  <c r="BT28" i="4"/>
  <c r="BT33" i="4"/>
  <c r="BT26" i="4"/>
  <c r="BT31" i="4"/>
  <c r="BT34" i="4"/>
  <c r="BT25" i="4"/>
  <c r="BT30" i="4"/>
  <c r="BT32" i="4"/>
  <c r="BT27" i="4"/>
  <c r="BT8" i="14"/>
  <c r="BR77" i="9"/>
  <c r="BK30" i="13"/>
  <c r="BL29" i="13"/>
  <c r="BP13" i="22"/>
  <c r="BP18" i="10"/>
  <c r="BP12" i="22" s="1"/>
  <c r="BJ33" i="13"/>
  <c r="BJ34" i="13" s="1"/>
  <c r="BJ31" i="13"/>
  <c r="BJ32" i="13"/>
  <c r="BT69" i="9"/>
  <c r="BT59" i="9"/>
  <c r="BT70" i="9"/>
  <c r="BT60" i="9"/>
  <c r="BT71" i="9"/>
  <c r="BT62" i="9"/>
  <c r="BT72" i="9"/>
  <c r="BT64" i="9"/>
  <c r="BT76" i="9"/>
  <c r="BT67" i="9"/>
  <c r="BT74" i="9"/>
  <c r="BT75" i="9"/>
  <c r="BT65" i="9"/>
  <c r="BT66" i="9"/>
  <c r="BT61" i="9"/>
  <c r="BU8" i="13"/>
  <c r="BU8" i="4"/>
  <c r="BU8" i="22"/>
  <c r="BU8" i="10"/>
  <c r="BU31" i="9"/>
  <c r="BU55" i="9" s="1"/>
  <c r="BS24" i="4"/>
  <c r="BS13" i="13" s="1"/>
  <c r="BT33" i="3"/>
  <c r="BS10" i="10"/>
  <c r="BS11" i="13"/>
  <c r="BN19" i="10"/>
  <c r="BN21" i="10" s="1"/>
  <c r="BN23" i="10"/>
  <c r="BQ13" i="4"/>
  <c r="BQ11" i="22"/>
  <c r="BQ78" i="9"/>
  <c r="BU27" i="3"/>
  <c r="BS63" i="9"/>
  <c r="BO23" i="10"/>
  <c r="BO19" i="10"/>
  <c r="BO21" i="10" s="1"/>
  <c r="BL17" i="14"/>
  <c r="BW8" i="3"/>
  <c r="BX9" i="3"/>
  <c r="BW11" i="3"/>
  <c r="BV9" i="13"/>
  <c r="BV32" i="9"/>
  <c r="BV56" i="9" s="1"/>
  <c r="BV9" i="22"/>
  <c r="BV9" i="10"/>
  <c r="BV9" i="14" s="1"/>
  <c r="BV9" i="4"/>
  <c r="BR83" i="9"/>
  <c r="BP11" i="4"/>
  <c r="BP35" i="4" s="1"/>
  <c r="BP11" i="10" s="1"/>
  <c r="BP12" i="10" s="1"/>
  <c r="BS58" i="9"/>
  <c r="BI36" i="13"/>
  <c r="BJ35" i="13" s="1"/>
  <c r="BV22" i="3"/>
  <c r="BV28" i="3" s="1"/>
  <c r="BV26" i="3"/>
  <c r="BV32" i="3" s="1"/>
  <c r="BV23" i="3"/>
  <c r="BV29" i="3" s="1"/>
  <c r="BV24" i="3"/>
  <c r="BV30" i="3" s="1"/>
  <c r="BV25" i="3"/>
  <c r="BV31" i="3" s="1"/>
  <c r="BU10" i="4"/>
  <c r="BU57" i="9"/>
  <c r="CB72" i="5"/>
  <c r="CB73" i="5" s="1"/>
  <c r="BX17" i="4" s="1"/>
  <c r="CA73" i="5"/>
  <c r="BW17" i="4" s="1"/>
  <c r="BU23" i="13"/>
  <c r="BV24" i="13"/>
  <c r="BW12" i="27"/>
  <c r="BW13" i="27"/>
  <c r="BV8" i="27"/>
  <c r="BV17" i="27" s="1"/>
  <c r="BW9" i="27"/>
  <c r="BW18" i="27" s="1"/>
  <c r="BL16" i="14" l="1"/>
  <c r="BK18" i="14" s="1"/>
  <c r="BR79" i="9"/>
  <c r="BN12" i="14"/>
  <c r="BO12" i="14" s="1"/>
  <c r="BP10" i="22"/>
  <c r="BP14" i="13" s="1"/>
  <c r="BP15" i="13" s="1"/>
  <c r="BP19" i="13" s="1"/>
  <c r="BP10" i="14" s="1"/>
  <c r="BP11" i="14" s="1"/>
  <c r="BP15" i="14" s="1"/>
  <c r="BS81" i="9"/>
  <c r="BS80" i="9"/>
  <c r="BJ36" i="13"/>
  <c r="BK35" i="13" s="1"/>
  <c r="BT68" i="9"/>
  <c r="BN20" i="10"/>
  <c r="BO20" i="10" s="1"/>
  <c r="BN25" i="10"/>
  <c r="BN24" i="10"/>
  <c r="BU16" i="4"/>
  <c r="BU19" i="4"/>
  <c r="BU15" i="4"/>
  <c r="BU20" i="4"/>
  <c r="BU18" i="4"/>
  <c r="BU22" i="4"/>
  <c r="BU23" i="4"/>
  <c r="BU21" i="4"/>
  <c r="BU27" i="4"/>
  <c r="BU30" i="4"/>
  <c r="BU28" i="4"/>
  <c r="BU32" i="4"/>
  <c r="BU26" i="4"/>
  <c r="BU25" i="4"/>
  <c r="BU31" i="4"/>
  <c r="BU33" i="4"/>
  <c r="BU34" i="4"/>
  <c r="BU29" i="4"/>
  <c r="BP13" i="10"/>
  <c r="BP17" i="10"/>
  <c r="BW24" i="3"/>
  <c r="BW30" i="3" s="1"/>
  <c r="BW25" i="3"/>
  <c r="BW31" i="3" s="1"/>
  <c r="BW22" i="3"/>
  <c r="BW28" i="3" s="1"/>
  <c r="BW26" i="3"/>
  <c r="BW32" i="3" s="1"/>
  <c r="BW23" i="3"/>
  <c r="BW29" i="3" s="1"/>
  <c r="BV57" i="9"/>
  <c r="BV10" i="4"/>
  <c r="BS82" i="9"/>
  <c r="BT63" i="9"/>
  <c r="BR11" i="22"/>
  <c r="BR12" i="13" s="1"/>
  <c r="BR78" i="9"/>
  <c r="BR13" i="4"/>
  <c r="BV8" i="13"/>
  <c r="BV8" i="4"/>
  <c r="BV8" i="22"/>
  <c r="BV8" i="10"/>
  <c r="BV8" i="14" s="1"/>
  <c r="BV31" i="9"/>
  <c r="BV55" i="9" s="1"/>
  <c r="BT10" i="10"/>
  <c r="BT11" i="13"/>
  <c r="BU33" i="3"/>
  <c r="BS77" i="9"/>
  <c r="BU64" i="9"/>
  <c r="BU74" i="9"/>
  <c r="BU65" i="9"/>
  <c r="BU75" i="9"/>
  <c r="BU66" i="9"/>
  <c r="BU76" i="9"/>
  <c r="BU67" i="9"/>
  <c r="BU69" i="9"/>
  <c r="BU59" i="9"/>
  <c r="BU72" i="9"/>
  <c r="BU70" i="9"/>
  <c r="BU71" i="9"/>
  <c r="BU60" i="9"/>
  <c r="BU62" i="9"/>
  <c r="BU61" i="9"/>
  <c r="BS84" i="9"/>
  <c r="BK33" i="13"/>
  <c r="BK34" i="13" s="1"/>
  <c r="BK31" i="13"/>
  <c r="BK32" i="13"/>
  <c r="BS83" i="9"/>
  <c r="BV27" i="3"/>
  <c r="BQ12" i="13"/>
  <c r="BU8" i="14"/>
  <c r="BT73" i="9"/>
  <c r="BY9" i="3"/>
  <c r="BX11" i="3"/>
  <c r="BW32" i="9"/>
  <c r="BW56" i="9" s="1"/>
  <c r="BW9" i="4"/>
  <c r="BW9" i="13"/>
  <c r="BX8" i="3"/>
  <c r="BW9" i="10"/>
  <c r="BW9" i="14" s="1"/>
  <c r="BW9" i="22"/>
  <c r="BO25" i="10"/>
  <c r="BO26" i="10" s="1"/>
  <c r="BO24" i="10"/>
  <c r="BQ14" i="4"/>
  <c r="BQ11" i="4" s="1"/>
  <c r="BQ35" i="4" s="1"/>
  <c r="BQ11" i="10" s="1"/>
  <c r="BQ12" i="10" s="1"/>
  <c r="BT58" i="9"/>
  <c r="BM29" i="13"/>
  <c r="BL30" i="13"/>
  <c r="BT24" i="4"/>
  <c r="BT13" i="13" s="1"/>
  <c r="BX9" i="27"/>
  <c r="BX18" i="27" s="1"/>
  <c r="BW8" i="27"/>
  <c r="BW17" i="27" s="1"/>
  <c r="BX13" i="27"/>
  <c r="BX12" i="27"/>
  <c r="BV23" i="13"/>
  <c r="BW24" i="13"/>
  <c r="BM16" i="14" l="1"/>
  <c r="BN16" i="14" s="1"/>
  <c r="BO16" i="14" s="1"/>
  <c r="BN18" i="14" s="1"/>
  <c r="BM17" i="14"/>
  <c r="BN26" i="10"/>
  <c r="BT82" i="9"/>
  <c r="BT84" i="9"/>
  <c r="BU68" i="9"/>
  <c r="BS79" i="9"/>
  <c r="BK36" i="13"/>
  <c r="BL35" i="13" s="1"/>
  <c r="BN17" i="14"/>
  <c r="BP12" i="14"/>
  <c r="BO17" i="14" s="1"/>
  <c r="BP23" i="10"/>
  <c r="BP19" i="10"/>
  <c r="BT81" i="9"/>
  <c r="BV15" i="4"/>
  <c r="BV16" i="4"/>
  <c r="BV23" i="4"/>
  <c r="BV21" i="4"/>
  <c r="BV19" i="4"/>
  <c r="BV20" i="4"/>
  <c r="BV22" i="4"/>
  <c r="BV18" i="4"/>
  <c r="BV27" i="4"/>
  <c r="BV31" i="4"/>
  <c r="BV29" i="4"/>
  <c r="BV30" i="4"/>
  <c r="BV26" i="4"/>
  <c r="BV32" i="4"/>
  <c r="BV33" i="4"/>
  <c r="BV25" i="4"/>
  <c r="BV28" i="4"/>
  <c r="BV34" i="4"/>
  <c r="BT80" i="9"/>
  <c r="BR14" i="4"/>
  <c r="BR11" i="4" s="1"/>
  <c r="BR35" i="4" s="1"/>
  <c r="BR11" i="10" s="1"/>
  <c r="BR12" i="10" s="1"/>
  <c r="BV69" i="9"/>
  <c r="BV59" i="9"/>
  <c r="BV70" i="9"/>
  <c r="BV60" i="9"/>
  <c r="BV71" i="9"/>
  <c r="BV62" i="9"/>
  <c r="BV72" i="9"/>
  <c r="BV64" i="9"/>
  <c r="BV76" i="9"/>
  <c r="BV67" i="9"/>
  <c r="BV74" i="9"/>
  <c r="BV75" i="9"/>
  <c r="BV65" i="9"/>
  <c r="BV66" i="9"/>
  <c r="BV61" i="9"/>
  <c r="BX22" i="3"/>
  <c r="BX28" i="3" s="1"/>
  <c r="BX26" i="3"/>
  <c r="BX32" i="3" s="1"/>
  <c r="BX23" i="3"/>
  <c r="BX29" i="3" s="1"/>
  <c r="BX24" i="3"/>
  <c r="BX30" i="3" s="1"/>
  <c r="BX25" i="3"/>
  <c r="BX31" i="3" s="1"/>
  <c r="BW10" i="4"/>
  <c r="BW57" i="9"/>
  <c r="BW8" i="13"/>
  <c r="BW8" i="22"/>
  <c r="BW31" i="9"/>
  <c r="BW55" i="9" s="1"/>
  <c r="BW8" i="4"/>
  <c r="BW8" i="10"/>
  <c r="BQ13" i="22"/>
  <c r="BQ18" i="10"/>
  <c r="BQ12" i="22" s="1"/>
  <c r="BL33" i="13"/>
  <c r="BL34" i="13" s="1"/>
  <c r="BL32" i="13"/>
  <c r="BL31" i="13"/>
  <c r="BY8" i="3"/>
  <c r="BY11" i="3"/>
  <c r="BX9" i="4"/>
  <c r="BX9" i="22"/>
  <c r="BX9" i="13"/>
  <c r="BX9" i="10"/>
  <c r="BX9" i="14" s="1"/>
  <c r="BX32" i="9"/>
  <c r="BX56" i="9" s="1"/>
  <c r="BU73" i="9"/>
  <c r="BQ13" i="10"/>
  <c r="BQ17" i="10"/>
  <c r="BM30" i="13"/>
  <c r="BN29" i="13"/>
  <c r="BT77" i="9"/>
  <c r="BU11" i="13"/>
  <c r="BU10" i="10"/>
  <c r="BV33" i="3"/>
  <c r="BU58" i="9"/>
  <c r="BU63" i="9"/>
  <c r="BT83" i="9"/>
  <c r="BW27" i="3"/>
  <c r="BS13" i="4"/>
  <c r="BS11" i="22"/>
  <c r="BS78" i="9"/>
  <c r="BU24" i="4"/>
  <c r="BU13" i="13" s="1"/>
  <c r="BW23" i="13"/>
  <c r="BX24" i="13"/>
  <c r="BX8" i="27"/>
  <c r="BX17" i="27" s="1"/>
  <c r="BL18" i="14"/>
  <c r="BM18" i="14" l="1"/>
  <c r="BQ10" i="22"/>
  <c r="BQ14" i="13" s="1"/>
  <c r="BQ15" i="13" s="1"/>
  <c r="BQ19" i="13" s="1"/>
  <c r="BQ10" i="14" s="1"/>
  <c r="BQ11" i="14" s="1"/>
  <c r="BQ15" i="14" s="1"/>
  <c r="BV68" i="9"/>
  <c r="BV58" i="9"/>
  <c r="BU84" i="9"/>
  <c r="BL36" i="13"/>
  <c r="BM35" i="13" s="1"/>
  <c r="BX8" i="13"/>
  <c r="BX8" i="4"/>
  <c r="BX31" i="9"/>
  <c r="BX55" i="9" s="1"/>
  <c r="BX8" i="22"/>
  <c r="BX8" i="10"/>
  <c r="C54" i="3"/>
  <c r="F40" i="3"/>
  <c r="C38" i="3"/>
  <c r="C53" i="3"/>
  <c r="C40" i="3"/>
  <c r="C48" i="3" s="1"/>
  <c r="C96" i="4" s="1"/>
  <c r="C52" i="3"/>
  <c r="C39" i="3"/>
  <c r="C47" i="3" s="1"/>
  <c r="C95" i="4" s="1"/>
  <c r="F39" i="3"/>
  <c r="C42" i="3"/>
  <c r="C50" i="3" s="1"/>
  <c r="C98" i="4" s="1"/>
  <c r="F38" i="3"/>
  <c r="C41" i="3"/>
  <c r="C49" i="3" s="1"/>
  <c r="C97" i="4" s="1"/>
  <c r="G53" i="3"/>
  <c r="C56" i="3"/>
  <c r="C55" i="3"/>
  <c r="G55" i="3"/>
  <c r="H38" i="3"/>
  <c r="H55" i="3"/>
  <c r="F42" i="3"/>
  <c r="F55" i="3"/>
  <c r="G56" i="3"/>
  <c r="F56" i="3"/>
  <c r="F41" i="3"/>
  <c r="G40" i="3"/>
  <c r="F53" i="3"/>
  <c r="F47" i="3" s="1"/>
  <c r="F95" i="4" s="1"/>
  <c r="H54" i="3"/>
  <c r="G54" i="3"/>
  <c r="G38" i="3"/>
  <c r="G41" i="3"/>
  <c r="H52" i="3"/>
  <c r="G42" i="3"/>
  <c r="G39" i="3"/>
  <c r="H56" i="3"/>
  <c r="G52" i="3"/>
  <c r="D40" i="3"/>
  <c r="H53" i="3"/>
  <c r="I41" i="3"/>
  <c r="H42" i="3"/>
  <c r="D42" i="3"/>
  <c r="F52" i="3"/>
  <c r="I38" i="3"/>
  <c r="H39" i="3"/>
  <c r="I39" i="3"/>
  <c r="H41" i="3"/>
  <c r="F54" i="3"/>
  <c r="D39" i="3"/>
  <c r="D41" i="3"/>
  <c r="I42" i="3"/>
  <c r="I40" i="3"/>
  <c r="H40" i="3"/>
  <c r="D38" i="3"/>
  <c r="E41" i="3"/>
  <c r="D53" i="3"/>
  <c r="E38" i="3"/>
  <c r="E42" i="3"/>
  <c r="E40" i="3"/>
  <c r="D55" i="3"/>
  <c r="E39" i="3"/>
  <c r="D54" i="3"/>
  <c r="D56" i="3"/>
  <c r="E53" i="3"/>
  <c r="E52" i="3"/>
  <c r="BS12" i="13"/>
  <c r="BU80" i="9"/>
  <c r="BN30" i="13"/>
  <c r="BO29" i="13"/>
  <c r="BS14" i="4"/>
  <c r="BS11" i="4" s="1"/>
  <c r="BS35" i="4" s="1"/>
  <c r="BS11" i="10" s="1"/>
  <c r="BX27" i="3"/>
  <c r="BV63" i="9"/>
  <c r="BR13" i="10"/>
  <c r="BR17" i="10"/>
  <c r="BV24" i="4"/>
  <c r="BV13" i="13" s="1"/>
  <c r="BU77" i="9"/>
  <c r="BM33" i="13"/>
  <c r="BM34" i="13" s="1"/>
  <c r="BM31" i="13"/>
  <c r="BM32" i="13"/>
  <c r="BV11" i="13"/>
  <c r="BV10" i="10"/>
  <c r="BW33" i="3"/>
  <c r="BR13" i="22"/>
  <c r="BR18" i="10"/>
  <c r="BR12" i="22" s="1"/>
  <c r="BU83" i="9"/>
  <c r="BW64" i="9"/>
  <c r="BW74" i="9"/>
  <c r="BW65" i="9"/>
  <c r="BW75" i="9"/>
  <c r="BW66" i="9"/>
  <c r="BW76" i="9"/>
  <c r="BW67" i="9"/>
  <c r="BW69" i="9"/>
  <c r="BW59" i="9"/>
  <c r="BW72" i="9"/>
  <c r="BW62" i="9"/>
  <c r="BW70" i="9"/>
  <c r="BW71" i="9"/>
  <c r="BW60" i="9"/>
  <c r="BW61" i="9"/>
  <c r="BT79" i="9"/>
  <c r="BP21" i="10"/>
  <c r="BP20" i="10"/>
  <c r="BT13" i="4"/>
  <c r="BT78" i="9"/>
  <c r="BT11" i="22"/>
  <c r="BU81" i="9"/>
  <c r="BQ19" i="10"/>
  <c r="BQ21" i="10" s="1"/>
  <c r="BQ23" i="10"/>
  <c r="BW15" i="4"/>
  <c r="BW16" i="4"/>
  <c r="BW19" i="4"/>
  <c r="BW18" i="4"/>
  <c r="BW20" i="4"/>
  <c r="BW21" i="4"/>
  <c r="BW22" i="4"/>
  <c r="BW23" i="4"/>
  <c r="BW25" i="4"/>
  <c r="BW28" i="4"/>
  <c r="BW30" i="4"/>
  <c r="BW29" i="4"/>
  <c r="BW33" i="4"/>
  <c r="BW26" i="4"/>
  <c r="BW32" i="4"/>
  <c r="BW31" i="4"/>
  <c r="BW27" i="4"/>
  <c r="BW34" i="4"/>
  <c r="BP25" i="10"/>
  <c r="BP24" i="10"/>
  <c r="BU82" i="9"/>
  <c r="BW8" i="14"/>
  <c r="F34" i="10"/>
  <c r="D34" i="10"/>
  <c r="E34" i="10"/>
  <c r="BY22" i="3"/>
  <c r="BY28" i="3" s="1"/>
  <c r="I52" i="3" s="1"/>
  <c r="BY23" i="3"/>
  <c r="BY29" i="3" s="1"/>
  <c r="I53" i="3" s="1"/>
  <c r="BY24" i="3"/>
  <c r="BY30" i="3" s="1"/>
  <c r="E54" i="3" s="1"/>
  <c r="BX10" i="4"/>
  <c r="BY25" i="3"/>
  <c r="BY31" i="3" s="1"/>
  <c r="E55" i="3" s="1"/>
  <c r="BX57" i="9"/>
  <c r="BY26" i="3"/>
  <c r="BY32" i="3" s="1"/>
  <c r="E56" i="3" s="1"/>
  <c r="H57" i="4"/>
  <c r="BV73" i="9"/>
  <c r="BX23" i="13"/>
  <c r="C56" i="13"/>
  <c r="D56" i="13"/>
  <c r="E56" i="13"/>
  <c r="F56" i="13"/>
  <c r="G56" i="13"/>
  <c r="H56" i="13"/>
  <c r="C39" i="10"/>
  <c r="D39" i="10"/>
  <c r="E39" i="10"/>
  <c r="F39" i="10"/>
  <c r="G39" i="10"/>
  <c r="H39" i="10"/>
  <c r="BP16" i="14"/>
  <c r="BO18" i="14" s="1"/>
  <c r="I47" i="3" l="1"/>
  <c r="I95" i="4" s="1"/>
  <c r="BQ12" i="14"/>
  <c r="BV77" i="9"/>
  <c r="BV11" i="22" s="1"/>
  <c r="BP26" i="10"/>
  <c r="E43" i="3"/>
  <c r="E44" i="3"/>
  <c r="G43" i="3"/>
  <c r="G44" i="3"/>
  <c r="F49" i="3"/>
  <c r="F97" i="4" s="1"/>
  <c r="D43" i="3"/>
  <c r="D44" i="3"/>
  <c r="F43" i="3"/>
  <c r="F44" i="3"/>
  <c r="I43" i="3"/>
  <c r="I44" i="3"/>
  <c r="H43" i="3"/>
  <c r="H44" i="3"/>
  <c r="K44" i="3" s="1"/>
  <c r="BR10" i="22"/>
  <c r="BR14" i="13" s="1"/>
  <c r="BR15" i="13" s="1"/>
  <c r="BR19" i="13" s="1"/>
  <c r="BR10" i="14" s="1"/>
  <c r="BR11" i="14" s="1"/>
  <c r="BR15" i="14" s="1"/>
  <c r="G48" i="3"/>
  <c r="G96" i="4" s="1"/>
  <c r="BV82" i="9"/>
  <c r="BW58" i="9"/>
  <c r="BW63" i="9"/>
  <c r="BM36" i="13"/>
  <c r="BN35" i="13" s="1"/>
  <c r="H50" i="3"/>
  <c r="H98" i="4" s="1"/>
  <c r="I59" i="3"/>
  <c r="BW68" i="9"/>
  <c r="BV84" i="9"/>
  <c r="BS13" i="22"/>
  <c r="BS18" i="10"/>
  <c r="BS12" i="22" s="1"/>
  <c r="D49" i="3"/>
  <c r="D97" i="4" s="1"/>
  <c r="F51" i="3"/>
  <c r="F59" i="3"/>
  <c r="H48" i="3"/>
  <c r="H96" i="4" s="1"/>
  <c r="H49" i="3"/>
  <c r="H97" i="4" s="1"/>
  <c r="BS12" i="10"/>
  <c r="G51" i="3"/>
  <c r="G59" i="3"/>
  <c r="BX15" i="4"/>
  <c r="BX16" i="4"/>
  <c r="BX19" i="4"/>
  <c r="H59" i="4" s="1"/>
  <c r="BX22" i="4"/>
  <c r="BX18" i="4"/>
  <c r="H58" i="4" s="1"/>
  <c r="BX20" i="4"/>
  <c r="BX23" i="4"/>
  <c r="BX21" i="4"/>
  <c r="BX29" i="4"/>
  <c r="D69" i="4" s="1"/>
  <c r="D81" i="4" s="1"/>
  <c r="BX26" i="4"/>
  <c r="D66" i="4" s="1"/>
  <c r="BX28" i="4"/>
  <c r="D68" i="4" s="1"/>
  <c r="BX33" i="4"/>
  <c r="D73" i="4" s="1"/>
  <c r="BX32" i="4"/>
  <c r="D72" i="4" s="1"/>
  <c r="BX30" i="4"/>
  <c r="D70" i="4" s="1"/>
  <c r="D82" i="4" s="1"/>
  <c r="BX25" i="4"/>
  <c r="H65" i="4" s="1"/>
  <c r="BX31" i="4"/>
  <c r="D71" i="4" s="1"/>
  <c r="D83" i="4" s="1"/>
  <c r="BX27" i="4"/>
  <c r="D67" i="4" s="1"/>
  <c r="BX34" i="4"/>
  <c r="H74" i="4" s="1"/>
  <c r="BV81" i="9"/>
  <c r="BU13" i="4"/>
  <c r="BU78" i="9"/>
  <c r="BU11" i="22"/>
  <c r="J41" i="3"/>
  <c r="E49" i="3"/>
  <c r="E97" i="4" s="1"/>
  <c r="D47" i="3"/>
  <c r="D95" i="4" s="1"/>
  <c r="I56" i="3"/>
  <c r="I50" i="3" s="1"/>
  <c r="I98" i="4" s="1"/>
  <c r="H46" i="3"/>
  <c r="H94" i="4" s="1"/>
  <c r="BX8" i="14"/>
  <c r="C37" i="10"/>
  <c r="E38" i="10"/>
  <c r="B38" i="10"/>
  <c r="D37" i="10"/>
  <c r="C38" i="10"/>
  <c r="E37" i="10"/>
  <c r="B39" i="10"/>
  <c r="B37" i="10"/>
  <c r="D38" i="10"/>
  <c r="E33" i="10"/>
  <c r="E35" i="10" s="1"/>
  <c r="E40" i="10" s="1"/>
  <c r="B41" i="10"/>
  <c r="G37" i="10"/>
  <c r="F41" i="10"/>
  <c r="B33" i="10"/>
  <c r="F37" i="10"/>
  <c r="F33" i="10"/>
  <c r="F35" i="10" s="1"/>
  <c r="F40" i="10" s="1"/>
  <c r="H37" i="10"/>
  <c r="G33" i="10"/>
  <c r="G41" i="10"/>
  <c r="F38" i="10"/>
  <c r="G38" i="10"/>
  <c r="H38" i="10"/>
  <c r="E41" i="10"/>
  <c r="B34" i="10"/>
  <c r="C34" i="10"/>
  <c r="G34" i="10"/>
  <c r="E46" i="3"/>
  <c r="E94" i="4" s="1"/>
  <c r="E51" i="3"/>
  <c r="E59" i="3"/>
  <c r="BV83" i="9"/>
  <c r="BO30" i="13"/>
  <c r="BP29" i="13"/>
  <c r="I55" i="3"/>
  <c r="I49" i="3" s="1"/>
  <c r="I97" i="4" s="1"/>
  <c r="D50" i="3"/>
  <c r="D98" i="4" s="1"/>
  <c r="G49" i="3"/>
  <c r="G97" i="4" s="1"/>
  <c r="E20" i="22"/>
  <c r="F18" i="22"/>
  <c r="D20" i="22"/>
  <c r="D18" i="22"/>
  <c r="E18" i="22"/>
  <c r="F20" i="22"/>
  <c r="B18" i="22"/>
  <c r="G18" i="22"/>
  <c r="B19" i="22"/>
  <c r="E19" i="22"/>
  <c r="G20" i="22"/>
  <c r="G19" i="22"/>
  <c r="F19" i="22"/>
  <c r="B20" i="22"/>
  <c r="F46" i="3"/>
  <c r="F94" i="4" s="1"/>
  <c r="BT12" i="13"/>
  <c r="BR23" i="10"/>
  <c r="BR19" i="10"/>
  <c r="BR21" i="10" s="1"/>
  <c r="BN33" i="13"/>
  <c r="BN34" i="13" s="1"/>
  <c r="BN32" i="13"/>
  <c r="BN31" i="13"/>
  <c r="J39" i="3"/>
  <c r="E47" i="3"/>
  <c r="E95" i="4" s="1"/>
  <c r="F48" i="3"/>
  <c r="F96" i="4" s="1"/>
  <c r="H59" i="3"/>
  <c r="H51" i="3"/>
  <c r="C51" i="3"/>
  <c r="C59" i="3"/>
  <c r="B91" i="9"/>
  <c r="B100" i="9"/>
  <c r="B90" i="9"/>
  <c r="B97" i="9"/>
  <c r="B101" i="9"/>
  <c r="B96" i="9"/>
  <c r="D101" i="9"/>
  <c r="D92" i="9"/>
  <c r="B89" i="9"/>
  <c r="B95" i="9"/>
  <c r="B102" i="9"/>
  <c r="D91" i="9"/>
  <c r="B105" i="9"/>
  <c r="B92" i="9"/>
  <c r="B94" i="9"/>
  <c r="F92" i="9"/>
  <c r="B104" i="9"/>
  <c r="D105" i="9"/>
  <c r="D94" i="9"/>
  <c r="B106" i="9"/>
  <c r="B111" i="9"/>
  <c r="D95" i="9"/>
  <c r="B114" i="9"/>
  <c r="D97" i="9"/>
  <c r="D102" i="9"/>
  <c r="F95" i="9"/>
  <c r="B99" i="9"/>
  <c r="D106" i="9"/>
  <c r="D100" i="9"/>
  <c r="F94" i="9"/>
  <c r="D104" i="9"/>
  <c r="D99" i="9"/>
  <c r="F99" i="9"/>
  <c r="D90" i="9"/>
  <c r="D96" i="9"/>
  <c r="D89" i="9"/>
  <c r="B112" i="9"/>
  <c r="E104" i="9"/>
  <c r="G91" i="9"/>
  <c r="B110" i="9"/>
  <c r="E97" i="9"/>
  <c r="F101" i="9"/>
  <c r="G104" i="9"/>
  <c r="G95" i="9"/>
  <c r="E100" i="9"/>
  <c r="G111" i="9"/>
  <c r="E94" i="9"/>
  <c r="F96" i="9"/>
  <c r="F91" i="9"/>
  <c r="F90" i="9"/>
  <c r="E95" i="9"/>
  <c r="F97" i="9"/>
  <c r="B113" i="9"/>
  <c r="E105" i="9"/>
  <c r="G92" i="9"/>
  <c r="F100" i="9"/>
  <c r="G100" i="9"/>
  <c r="F89" i="9"/>
  <c r="F105" i="9"/>
  <c r="E99" i="9"/>
  <c r="G96" i="9"/>
  <c r="F106" i="9"/>
  <c r="F102" i="9"/>
  <c r="G113" i="9"/>
  <c r="E96" i="9"/>
  <c r="F104" i="9"/>
  <c r="E90" i="9"/>
  <c r="E101" i="9"/>
  <c r="G102" i="9"/>
  <c r="E102" i="9"/>
  <c r="E112" i="9"/>
  <c r="G114" i="9"/>
  <c r="G110" i="9"/>
  <c r="E106" i="9"/>
  <c r="E92" i="9"/>
  <c r="E89" i="9"/>
  <c r="F111" i="9"/>
  <c r="G112" i="9"/>
  <c r="E110" i="9"/>
  <c r="F113" i="9"/>
  <c r="G89" i="9"/>
  <c r="G97" i="9"/>
  <c r="G99" i="9"/>
  <c r="F114" i="9"/>
  <c r="G90" i="9"/>
  <c r="E113" i="9"/>
  <c r="G94" i="9"/>
  <c r="G106" i="9"/>
  <c r="F110" i="9"/>
  <c r="E111" i="9"/>
  <c r="E114" i="9"/>
  <c r="G101" i="9"/>
  <c r="F112" i="9"/>
  <c r="G105" i="9"/>
  <c r="C110" i="9"/>
  <c r="C113" i="9"/>
  <c r="C112" i="9"/>
  <c r="C114" i="9"/>
  <c r="C111" i="9"/>
  <c r="BQ24" i="10"/>
  <c r="BQ25" i="10"/>
  <c r="BQ26" i="10" s="1"/>
  <c r="BV78" i="9"/>
  <c r="BV13" i="4"/>
  <c r="BY27" i="3"/>
  <c r="D52" i="3"/>
  <c r="J52" i="3" s="1"/>
  <c r="BV80" i="9"/>
  <c r="BU79" i="9"/>
  <c r="I54" i="3"/>
  <c r="I48" i="3" s="1"/>
  <c r="I96" i="4" s="1"/>
  <c r="F50" i="3"/>
  <c r="F98" i="4" s="1"/>
  <c r="B73" i="4"/>
  <c r="B59" i="4"/>
  <c r="B66" i="4"/>
  <c r="B68" i="4"/>
  <c r="B60" i="4"/>
  <c r="C63" i="4"/>
  <c r="B70" i="4"/>
  <c r="B72" i="4"/>
  <c r="D63" i="4"/>
  <c r="D59" i="4"/>
  <c r="D55" i="4"/>
  <c r="B62" i="4"/>
  <c r="D60" i="4"/>
  <c r="E65" i="4"/>
  <c r="E66" i="4"/>
  <c r="B56" i="4"/>
  <c r="B63" i="4"/>
  <c r="C56" i="4"/>
  <c r="C58" i="4"/>
  <c r="B65" i="4"/>
  <c r="E61" i="4"/>
  <c r="B55" i="4"/>
  <c r="B67" i="4"/>
  <c r="B58" i="4"/>
  <c r="D56" i="4"/>
  <c r="F74" i="4"/>
  <c r="E59" i="4"/>
  <c r="B61" i="4"/>
  <c r="B74" i="4"/>
  <c r="F60" i="4"/>
  <c r="E71" i="4"/>
  <c r="E83" i="4" s="1"/>
  <c r="D58" i="4"/>
  <c r="C60" i="4"/>
  <c r="C59" i="4"/>
  <c r="C61" i="4"/>
  <c r="D61" i="4"/>
  <c r="E70" i="4"/>
  <c r="E82" i="4" s="1"/>
  <c r="E55" i="4"/>
  <c r="C65" i="4"/>
  <c r="E63" i="4"/>
  <c r="B69" i="4"/>
  <c r="E60" i="4"/>
  <c r="D62" i="4"/>
  <c r="E72" i="4"/>
  <c r="F63" i="4"/>
  <c r="F69" i="4"/>
  <c r="F81" i="4" s="1"/>
  <c r="C62" i="4"/>
  <c r="B52" i="4"/>
  <c r="F72" i="4"/>
  <c r="E69" i="4"/>
  <c r="E81" i="4" s="1"/>
  <c r="F68" i="4"/>
  <c r="F66" i="4"/>
  <c r="E74" i="4"/>
  <c r="E62" i="4"/>
  <c r="F67" i="4"/>
  <c r="E68" i="4"/>
  <c r="F56" i="4"/>
  <c r="F55" i="4"/>
  <c r="D54" i="4"/>
  <c r="E53" i="4"/>
  <c r="F53" i="4"/>
  <c r="F71" i="4"/>
  <c r="F83" i="4" s="1"/>
  <c r="F58" i="4"/>
  <c r="F73" i="4"/>
  <c r="H60" i="4"/>
  <c r="I60" i="4" s="1"/>
  <c r="E56" i="4"/>
  <c r="D53" i="4"/>
  <c r="E54" i="4"/>
  <c r="F70" i="4"/>
  <c r="F82" i="4" s="1"/>
  <c r="F61" i="4"/>
  <c r="F59" i="4"/>
  <c r="F62" i="4"/>
  <c r="F65" i="4"/>
  <c r="B71" i="4"/>
  <c r="B57" i="4"/>
  <c r="E67" i="4"/>
  <c r="F54" i="4"/>
  <c r="E73" i="4"/>
  <c r="E58" i="4"/>
  <c r="G69" i="4"/>
  <c r="G81" i="4" s="1"/>
  <c r="G67" i="4"/>
  <c r="G68" i="4"/>
  <c r="G61" i="4"/>
  <c r="G72" i="4"/>
  <c r="B53" i="4"/>
  <c r="G60" i="4"/>
  <c r="G70" i="4"/>
  <c r="G82" i="4" s="1"/>
  <c r="H55" i="4"/>
  <c r="B54" i="4"/>
  <c r="G58" i="4"/>
  <c r="G66" i="4"/>
  <c r="H63" i="4"/>
  <c r="G65" i="4"/>
  <c r="H61" i="4"/>
  <c r="H62" i="4"/>
  <c r="G62" i="4"/>
  <c r="G55" i="4"/>
  <c r="G53" i="4"/>
  <c r="G54" i="4"/>
  <c r="G71" i="4"/>
  <c r="G83" i="4" s="1"/>
  <c r="G63" i="4"/>
  <c r="G73" i="4"/>
  <c r="G56" i="4"/>
  <c r="H56" i="4"/>
  <c r="G59" i="4"/>
  <c r="C52" i="4"/>
  <c r="C71" i="4"/>
  <c r="C83" i="4" s="1"/>
  <c r="C68" i="4"/>
  <c r="C74" i="4"/>
  <c r="C70" i="4"/>
  <c r="C82" i="4" s="1"/>
  <c r="C66" i="4"/>
  <c r="C73" i="4"/>
  <c r="C72" i="4"/>
  <c r="C69" i="4"/>
  <c r="C81" i="4" s="1"/>
  <c r="C67" i="4"/>
  <c r="D74" i="4"/>
  <c r="D65" i="4"/>
  <c r="E52" i="4"/>
  <c r="F52" i="4"/>
  <c r="G52" i="4"/>
  <c r="D52" i="4"/>
  <c r="G74" i="4"/>
  <c r="E57" i="4"/>
  <c r="D57" i="4"/>
  <c r="H52" i="4"/>
  <c r="G57" i="4"/>
  <c r="F57" i="4"/>
  <c r="C57" i="4"/>
  <c r="BX70" i="9"/>
  <c r="C100" i="9" s="1"/>
  <c r="BX60" i="9"/>
  <c r="C90" i="9" s="1"/>
  <c r="BX71" i="9"/>
  <c r="C101" i="9" s="1"/>
  <c r="BX62" i="9"/>
  <c r="C92" i="9" s="1"/>
  <c r="BX72" i="9"/>
  <c r="C102" i="9" s="1"/>
  <c r="BX64" i="9"/>
  <c r="BX74" i="9"/>
  <c r="H104" i="9" s="1"/>
  <c r="BX65" i="9"/>
  <c r="C95" i="9" s="1"/>
  <c r="BX69" i="9"/>
  <c r="BX59" i="9"/>
  <c r="BX75" i="9"/>
  <c r="C105" i="9" s="1"/>
  <c r="BX76" i="9"/>
  <c r="C106" i="9" s="1"/>
  <c r="BX66" i="9"/>
  <c r="C96" i="9" s="1"/>
  <c r="BX67" i="9"/>
  <c r="C97" i="9" s="1"/>
  <c r="BX61" i="9"/>
  <c r="I46" i="3"/>
  <c r="I94" i="4" s="1"/>
  <c r="BP17" i="14"/>
  <c r="BT14" i="4"/>
  <c r="BT11" i="4" s="1"/>
  <c r="BT35" i="4" s="1"/>
  <c r="BT11" i="10" s="1"/>
  <c r="J40" i="3"/>
  <c r="E48" i="3"/>
  <c r="E96" i="4" s="1"/>
  <c r="H47" i="3"/>
  <c r="H95" i="4" s="1"/>
  <c r="G50" i="3"/>
  <c r="G98" i="4" s="1"/>
  <c r="G47" i="3"/>
  <c r="G95" i="4" s="1"/>
  <c r="J53" i="3"/>
  <c r="C54" i="13"/>
  <c r="E59" i="13"/>
  <c r="B54" i="13"/>
  <c r="B60" i="13"/>
  <c r="C59" i="13"/>
  <c r="B56" i="13"/>
  <c r="E43" i="13"/>
  <c r="E54" i="13"/>
  <c r="D54" i="13"/>
  <c r="E60" i="13"/>
  <c r="B57" i="13"/>
  <c r="C57" i="13"/>
  <c r="C78" i="13" s="1"/>
  <c r="B45" i="13"/>
  <c r="D59" i="13"/>
  <c r="D58" i="13" s="1"/>
  <c r="B59" i="13"/>
  <c r="C60" i="13"/>
  <c r="B44" i="13"/>
  <c r="D60" i="13"/>
  <c r="G44" i="13"/>
  <c r="E57" i="13"/>
  <c r="E78" i="13" s="1"/>
  <c r="E49" i="13"/>
  <c r="E50" i="13" s="1"/>
  <c r="D49" i="13"/>
  <c r="D50" i="13" s="1"/>
  <c r="H60" i="13"/>
  <c r="D57" i="13"/>
  <c r="D78" i="13" s="1"/>
  <c r="F57" i="13"/>
  <c r="F78" i="13" s="1"/>
  <c r="G57" i="13"/>
  <c r="G78" i="13" s="1"/>
  <c r="G60" i="13"/>
  <c r="G53" i="13"/>
  <c r="B43" i="13"/>
  <c r="E53" i="13"/>
  <c r="E74" i="13" s="1"/>
  <c r="F60" i="13"/>
  <c r="G54" i="13"/>
  <c r="F49" i="13"/>
  <c r="F50" i="13" s="1"/>
  <c r="F43" i="13"/>
  <c r="F59" i="13"/>
  <c r="F54" i="13"/>
  <c r="D53" i="13"/>
  <c r="H54" i="13"/>
  <c r="G59" i="13"/>
  <c r="G58" i="13" s="1"/>
  <c r="E46" i="13"/>
  <c r="G49" i="13"/>
  <c r="G50" i="13" s="1"/>
  <c r="G43" i="13"/>
  <c r="H57" i="13"/>
  <c r="H78" i="13" s="1"/>
  <c r="G46" i="13"/>
  <c r="C53" i="13"/>
  <c r="C74" i="13" s="1"/>
  <c r="F53" i="13"/>
  <c r="F74" i="13" s="1"/>
  <c r="H59" i="13"/>
  <c r="H58" i="13" s="1"/>
  <c r="D44" i="13"/>
  <c r="H53" i="13"/>
  <c r="B46" i="13"/>
  <c r="F46" i="13"/>
  <c r="H49" i="13"/>
  <c r="H50" i="13" s="1"/>
  <c r="B49" i="13"/>
  <c r="B61" i="13"/>
  <c r="C49" i="13"/>
  <c r="C50" i="13" s="1"/>
  <c r="B62" i="13"/>
  <c r="B63" i="13"/>
  <c r="B76" i="13" s="1"/>
  <c r="C45" i="13"/>
  <c r="C43" i="13"/>
  <c r="B53" i="13"/>
  <c r="C46" i="13"/>
  <c r="D43" i="13"/>
  <c r="D46" i="13"/>
  <c r="F44" i="13"/>
  <c r="G45" i="13"/>
  <c r="D45" i="13"/>
  <c r="F45" i="13"/>
  <c r="E45" i="13"/>
  <c r="BW24" i="4"/>
  <c r="BW13" i="13" s="1"/>
  <c r="BQ20" i="10"/>
  <c r="BW73" i="9"/>
  <c r="BW82" i="9" s="1"/>
  <c r="BW11" i="13"/>
  <c r="BW10" i="10"/>
  <c r="BX33" i="3"/>
  <c r="J42" i="3"/>
  <c r="E50" i="3"/>
  <c r="E98" i="4" s="1"/>
  <c r="D48" i="3"/>
  <c r="D96" i="4" s="1"/>
  <c r="G46" i="3"/>
  <c r="G94" i="4" s="1"/>
  <c r="C46" i="3"/>
  <c r="C94" i="4" s="1"/>
  <c r="J38" i="3"/>
  <c r="J44" i="3" s="1"/>
  <c r="E77" i="13"/>
  <c r="E55" i="13"/>
  <c r="D77" i="13"/>
  <c r="D55" i="13"/>
  <c r="F77" i="13"/>
  <c r="C55" i="13"/>
  <c r="C77" i="13"/>
  <c r="H77" i="13"/>
  <c r="H55" i="13"/>
  <c r="I39" i="10"/>
  <c r="G77" i="13"/>
  <c r="G55" i="13"/>
  <c r="BQ16" i="14"/>
  <c r="BP18" i="14" s="1"/>
  <c r="H66" i="4" l="1"/>
  <c r="J56" i="3"/>
  <c r="J50" i="3" s="1"/>
  <c r="H68" i="4"/>
  <c r="I68" i="4" s="1"/>
  <c r="D40" i="4"/>
  <c r="H69" i="4"/>
  <c r="H81" i="4" s="1"/>
  <c r="BW83" i="9"/>
  <c r="H73" i="4"/>
  <c r="I73" i="4" s="1"/>
  <c r="BW80" i="9"/>
  <c r="H67" i="4"/>
  <c r="H42" i="4" s="1"/>
  <c r="J47" i="3"/>
  <c r="BR20" i="10"/>
  <c r="BR12" i="14"/>
  <c r="BQ17" i="14" s="1"/>
  <c r="H70" i="4"/>
  <c r="H82" i="4" s="1"/>
  <c r="J43" i="3"/>
  <c r="F17" i="22"/>
  <c r="G93" i="9"/>
  <c r="D103" i="9"/>
  <c r="B93" i="9"/>
  <c r="BW81" i="9"/>
  <c r="BV79" i="9"/>
  <c r="BW77" i="9"/>
  <c r="BW13" i="4" s="1"/>
  <c r="G40" i="4"/>
  <c r="B98" i="9"/>
  <c r="BW84" i="9"/>
  <c r="H92" i="9"/>
  <c r="H106" i="9"/>
  <c r="D98" i="9"/>
  <c r="H97" i="9"/>
  <c r="E17" i="22"/>
  <c r="D88" i="9"/>
  <c r="G103" i="9"/>
  <c r="E42" i="10"/>
  <c r="F39" i="14" s="1"/>
  <c r="F47" i="13"/>
  <c r="F51" i="13" s="1"/>
  <c r="G47" i="13"/>
  <c r="G51" i="13" s="1"/>
  <c r="J55" i="3"/>
  <c r="J49" i="3" s="1"/>
  <c r="G35" i="10"/>
  <c r="G40" i="10" s="1"/>
  <c r="G42" i="10" s="1"/>
  <c r="H39" i="14" s="1"/>
  <c r="C43" i="4"/>
  <c r="F42" i="10"/>
  <c r="F44" i="10" s="1"/>
  <c r="F56" i="10" s="1"/>
  <c r="D43" i="4"/>
  <c r="F109" i="9"/>
  <c r="H71" i="4"/>
  <c r="H83" i="4" s="1"/>
  <c r="F43" i="4"/>
  <c r="D44" i="4"/>
  <c r="B43" i="4"/>
  <c r="C109" i="9"/>
  <c r="BT12" i="10"/>
  <c r="J59" i="3"/>
  <c r="I37" i="10"/>
  <c r="J46" i="3"/>
  <c r="C58" i="13"/>
  <c r="BX58" i="9"/>
  <c r="C89" i="9"/>
  <c r="C39" i="4"/>
  <c r="G44" i="4"/>
  <c r="B39" i="4"/>
  <c r="B51" i="4"/>
  <c r="I52" i="4"/>
  <c r="I58" i="4"/>
  <c r="I56" i="4"/>
  <c r="BV12" i="13"/>
  <c r="F103" i="9"/>
  <c r="G17" i="22"/>
  <c r="B49" i="10"/>
  <c r="C38" i="14"/>
  <c r="B47" i="10"/>
  <c r="B36" i="10"/>
  <c r="B44" i="10"/>
  <c r="B56" i="10" s="1"/>
  <c r="B35" i="10"/>
  <c r="B40" i="10" s="1"/>
  <c r="B42" i="10" s="1"/>
  <c r="BU14" i="4"/>
  <c r="BU11" i="4" s="1"/>
  <c r="BU35" i="4" s="1"/>
  <c r="BU11" i="10" s="1"/>
  <c r="J54" i="3"/>
  <c r="F64" i="4"/>
  <c r="F42" i="4"/>
  <c r="F55" i="13"/>
  <c r="B47" i="13"/>
  <c r="G74" i="13"/>
  <c r="I60" i="13"/>
  <c r="BX68" i="9"/>
  <c r="C99" i="9"/>
  <c r="C98" i="9" s="1"/>
  <c r="D39" i="4"/>
  <c r="D51" i="4"/>
  <c r="G80" i="4"/>
  <c r="G79" i="4" s="1"/>
  <c r="G41" i="4"/>
  <c r="H89" i="4"/>
  <c r="H101" i="4" s="1"/>
  <c r="H88" i="4"/>
  <c r="H100" i="4" s="1"/>
  <c r="H90" i="4"/>
  <c r="H102" i="4" s="1"/>
  <c r="H92" i="4"/>
  <c r="H104" i="4" s="1"/>
  <c r="H91" i="4"/>
  <c r="H103" i="4" s="1"/>
  <c r="G42" i="4"/>
  <c r="G64" i="4"/>
  <c r="B40" i="4"/>
  <c r="F80" i="4"/>
  <c r="F79" i="4" s="1"/>
  <c r="F41" i="4"/>
  <c r="C42" i="4"/>
  <c r="C64" i="4"/>
  <c r="B82" i="4"/>
  <c r="H105" i="9"/>
  <c r="H95" i="9"/>
  <c r="H101" i="9"/>
  <c r="G88" i="9"/>
  <c r="F88" i="9"/>
  <c r="F98" i="9"/>
  <c r="B103" i="9"/>
  <c r="B88" i="9"/>
  <c r="D46" i="3"/>
  <c r="D94" i="4" s="1"/>
  <c r="E57" i="3"/>
  <c r="E58" i="3"/>
  <c r="E60" i="3"/>
  <c r="B81" i="4"/>
  <c r="D93" i="9"/>
  <c r="H74" i="13"/>
  <c r="F58" i="13"/>
  <c r="B78" i="13"/>
  <c r="I57" i="13"/>
  <c r="I54" i="13"/>
  <c r="G39" i="4"/>
  <c r="G51" i="4"/>
  <c r="H44" i="4"/>
  <c r="H80" i="4"/>
  <c r="G43" i="4"/>
  <c r="I62" i="4"/>
  <c r="F90" i="4"/>
  <c r="F102" i="4" s="1"/>
  <c r="F92" i="4"/>
  <c r="F104" i="4" s="1"/>
  <c r="F89" i="4"/>
  <c r="F101" i="4" s="1"/>
  <c r="F88" i="4"/>
  <c r="F100" i="4" s="1"/>
  <c r="F91" i="4"/>
  <c r="F103" i="4" s="1"/>
  <c r="E42" i="4"/>
  <c r="E64" i="4"/>
  <c r="I63" i="4"/>
  <c r="H102" i="9"/>
  <c r="H96" i="9"/>
  <c r="H90" i="9"/>
  <c r="B109" i="9"/>
  <c r="I66" i="4"/>
  <c r="B55" i="13"/>
  <c r="B77" i="13"/>
  <c r="B75" i="13" s="1"/>
  <c r="BR25" i="10"/>
  <c r="BR24" i="10"/>
  <c r="BS13" i="10"/>
  <c r="BS17" i="10"/>
  <c r="E58" i="13"/>
  <c r="C91" i="9"/>
  <c r="E91" i="9"/>
  <c r="E88" i="9" s="1"/>
  <c r="BX73" i="9"/>
  <c r="C104" i="9"/>
  <c r="C103" i="9" s="1"/>
  <c r="F39" i="4"/>
  <c r="F51" i="4"/>
  <c r="F40" i="4"/>
  <c r="E44" i="4"/>
  <c r="B44" i="4"/>
  <c r="I74" i="4"/>
  <c r="E93" i="9"/>
  <c r="BP30" i="13"/>
  <c r="BQ29" i="13"/>
  <c r="C55" i="4"/>
  <c r="I55" i="4" s="1"/>
  <c r="I51" i="3"/>
  <c r="E39" i="4"/>
  <c r="E51" i="4"/>
  <c r="E40" i="4"/>
  <c r="E43" i="4"/>
  <c r="I61" i="4"/>
  <c r="B64" i="4"/>
  <c r="B42" i="4"/>
  <c r="I65" i="4"/>
  <c r="D51" i="3"/>
  <c r="D59" i="3"/>
  <c r="H91" i="9"/>
  <c r="H89" i="9"/>
  <c r="E103" i="9"/>
  <c r="F93" i="9"/>
  <c r="C57" i="3"/>
  <c r="C58" i="3" s="1"/>
  <c r="C60" i="3"/>
  <c r="BO33" i="13"/>
  <c r="BO34" i="13" s="1"/>
  <c r="BO31" i="13"/>
  <c r="BO32" i="13"/>
  <c r="H38" i="14"/>
  <c r="F38" i="14"/>
  <c r="E36" i="10"/>
  <c r="I38" i="10"/>
  <c r="F57" i="3"/>
  <c r="F60" i="3"/>
  <c r="F58" i="3"/>
  <c r="B64" i="13"/>
  <c r="BT13" i="22"/>
  <c r="BT18" i="10"/>
  <c r="BX63" i="9"/>
  <c r="C94" i="9"/>
  <c r="C93" i="9" s="1"/>
  <c r="I56" i="13"/>
  <c r="B50" i="13"/>
  <c r="I50" i="13" s="1"/>
  <c r="I49" i="13"/>
  <c r="H39" i="4"/>
  <c r="D42" i="4"/>
  <c r="D64" i="4"/>
  <c r="H72" i="4"/>
  <c r="I57" i="4"/>
  <c r="E80" i="4"/>
  <c r="E79" i="4" s="1"/>
  <c r="E41" i="4"/>
  <c r="BY33" i="3"/>
  <c r="BX11" i="13"/>
  <c r="H43" i="13" s="1"/>
  <c r="BX10" i="10"/>
  <c r="C33" i="10" s="1"/>
  <c r="H99" i="9"/>
  <c r="E109" i="9"/>
  <c r="H94" i="9"/>
  <c r="B17" i="22"/>
  <c r="BX24" i="4"/>
  <c r="BX13" i="13" s="1"/>
  <c r="G57" i="3"/>
  <c r="G60" i="3"/>
  <c r="G58" i="3"/>
  <c r="D47" i="13"/>
  <c r="D51" i="13" s="1"/>
  <c r="D74" i="13"/>
  <c r="B74" i="13"/>
  <c r="I53" i="13"/>
  <c r="B58" i="13"/>
  <c r="I59" i="13"/>
  <c r="B83" i="4"/>
  <c r="G91" i="4"/>
  <c r="G103" i="4" s="1"/>
  <c r="G92" i="4"/>
  <c r="G104" i="4" s="1"/>
  <c r="G90" i="4"/>
  <c r="G102" i="4" s="1"/>
  <c r="G89" i="4"/>
  <c r="G101" i="4" s="1"/>
  <c r="G88" i="4"/>
  <c r="G100" i="4" s="1"/>
  <c r="C80" i="4"/>
  <c r="C79" i="4" s="1"/>
  <c r="C41" i="4"/>
  <c r="F44" i="4"/>
  <c r="C44" i="4"/>
  <c r="D80" i="4"/>
  <c r="D79" i="4" s="1"/>
  <c r="D41" i="4"/>
  <c r="B80" i="4"/>
  <c r="I59" i="4"/>
  <c r="B41" i="4"/>
  <c r="BV14" i="4"/>
  <c r="BV11" i="4" s="1"/>
  <c r="BV35" i="4" s="1"/>
  <c r="BV11" i="10" s="1"/>
  <c r="BV12" i="10" s="1"/>
  <c r="G98" i="9"/>
  <c r="G109" i="9"/>
  <c r="H100" i="9"/>
  <c r="E98" i="9"/>
  <c r="H57" i="3"/>
  <c r="H60" i="3"/>
  <c r="H58" i="3"/>
  <c r="BN36" i="13"/>
  <c r="BO35" i="13" s="1"/>
  <c r="G38" i="14"/>
  <c r="F36" i="10"/>
  <c r="BU12" i="13"/>
  <c r="BS10" i="22"/>
  <c r="BS14" i="13" s="1"/>
  <c r="I55" i="13"/>
  <c r="BR16" i="14"/>
  <c r="BQ18" i="14" s="1"/>
  <c r="H43" i="4" l="1"/>
  <c r="I81" i="4"/>
  <c r="I69" i="4"/>
  <c r="I67" i="4"/>
  <c r="BX81" i="9"/>
  <c r="D111" i="9" s="1"/>
  <c r="E89" i="4" s="1"/>
  <c r="E101" i="4" s="1"/>
  <c r="I70" i="4"/>
  <c r="BR26" i="10"/>
  <c r="BX80" i="9"/>
  <c r="H110" i="9" s="1"/>
  <c r="I82" i="4"/>
  <c r="J51" i="3"/>
  <c r="J57" i="3" s="1"/>
  <c r="BX84" i="9"/>
  <c r="D114" i="9" s="1"/>
  <c r="E92" i="4" s="1"/>
  <c r="E104" i="4" s="1"/>
  <c r="BW11" i="22"/>
  <c r="BW12" i="13" s="1"/>
  <c r="G36" i="10"/>
  <c r="H103" i="9"/>
  <c r="BW78" i="9"/>
  <c r="H40" i="14"/>
  <c r="BW79" i="9"/>
  <c r="I71" i="4"/>
  <c r="G107" i="9"/>
  <c r="G108" i="9" s="1"/>
  <c r="D107" i="9"/>
  <c r="D108" i="9" s="1"/>
  <c r="G44" i="10"/>
  <c r="J48" i="3"/>
  <c r="E44" i="10"/>
  <c r="E56" i="10" s="1"/>
  <c r="E55" i="10"/>
  <c r="I44" i="4"/>
  <c r="I83" i="4"/>
  <c r="H41" i="4"/>
  <c r="I41" i="4" s="1"/>
  <c r="H79" i="4"/>
  <c r="H88" i="9"/>
  <c r="BX77" i="9"/>
  <c r="BX13" i="4" s="1"/>
  <c r="H53" i="4" s="1"/>
  <c r="BO36" i="13"/>
  <c r="BP35" i="13" s="1"/>
  <c r="G39" i="14"/>
  <c r="G40" i="14" s="1"/>
  <c r="I43" i="4"/>
  <c r="I42" i="4"/>
  <c r="B79" i="13"/>
  <c r="B83" i="13" s="1"/>
  <c r="F55" i="10"/>
  <c r="H45" i="13"/>
  <c r="I45" i="13" s="1"/>
  <c r="BU12" i="10"/>
  <c r="I43" i="13"/>
  <c r="H33" i="10"/>
  <c r="B51" i="13"/>
  <c r="B65" i="13" s="1"/>
  <c r="B67" i="13"/>
  <c r="C66" i="13" s="1"/>
  <c r="I72" i="4"/>
  <c r="BW14" i="4"/>
  <c r="BW11" i="4" s="1"/>
  <c r="BW35" i="4" s="1"/>
  <c r="BW11" i="10" s="1"/>
  <c r="BW12" i="10" s="1"/>
  <c r="BS15" i="13"/>
  <c r="BS19" i="13" s="1"/>
  <c r="BS10" i="14" s="1"/>
  <c r="H64" i="4"/>
  <c r="H93" i="9"/>
  <c r="BX82" i="9"/>
  <c r="I39" i="4"/>
  <c r="E75" i="4"/>
  <c r="E45" i="4" s="1"/>
  <c r="E46" i="4" s="1"/>
  <c r="BP33" i="13"/>
  <c r="BP34" i="13" s="1"/>
  <c r="BP31" i="13"/>
  <c r="BP32" i="13"/>
  <c r="B107" i="9"/>
  <c r="B108" i="9" s="1"/>
  <c r="D75" i="4"/>
  <c r="D45" i="4" s="1"/>
  <c r="D46" i="4" s="1"/>
  <c r="C88" i="9"/>
  <c r="C107" i="9" s="1"/>
  <c r="C108" i="9" s="1"/>
  <c r="BT13" i="10"/>
  <c r="BT17" i="10"/>
  <c r="D110" i="9"/>
  <c r="D58" i="3"/>
  <c r="D57" i="3"/>
  <c r="D60" i="3"/>
  <c r="BQ30" i="13"/>
  <c r="BR29" i="13"/>
  <c r="BV13" i="10"/>
  <c r="BV17" i="10"/>
  <c r="BV18" i="10"/>
  <c r="BV12" i="22" s="1"/>
  <c r="BV13" i="22"/>
  <c r="I58" i="13"/>
  <c r="BT12" i="22"/>
  <c r="F75" i="4"/>
  <c r="F45" i="4" s="1"/>
  <c r="F46" i="4" s="1"/>
  <c r="BS19" i="10"/>
  <c r="BS23" i="10"/>
  <c r="J58" i="3"/>
  <c r="J60" i="3"/>
  <c r="H98" i="9"/>
  <c r="BX83" i="9"/>
  <c r="E107" i="9"/>
  <c r="E108" i="9" s="1"/>
  <c r="I58" i="3"/>
  <c r="I60" i="3"/>
  <c r="I57" i="3"/>
  <c r="D33" i="10"/>
  <c r="BU13" i="22"/>
  <c r="BU18" i="10"/>
  <c r="BU12" i="22" s="1"/>
  <c r="B75" i="4"/>
  <c r="B45" i="4" s="1"/>
  <c r="H111" i="9"/>
  <c r="I89" i="4" s="1"/>
  <c r="I101" i="4" s="1"/>
  <c r="B43" i="10"/>
  <c r="B55" i="10"/>
  <c r="C39" i="14"/>
  <c r="I80" i="4"/>
  <c r="B79" i="4"/>
  <c r="D89" i="4"/>
  <c r="D101" i="4" s="1"/>
  <c r="D88" i="4"/>
  <c r="D100" i="4" s="1"/>
  <c r="D91" i="4"/>
  <c r="D103" i="4" s="1"/>
  <c r="D92" i="4"/>
  <c r="D104" i="4" s="1"/>
  <c r="D90" i="4"/>
  <c r="D102" i="4" s="1"/>
  <c r="G75" i="4"/>
  <c r="G45" i="4" s="1"/>
  <c r="G46" i="4" s="1"/>
  <c r="F107" i="9"/>
  <c r="F108" i="9" s="1"/>
  <c r="F40" i="14"/>
  <c r="I79" i="4" l="1"/>
  <c r="H114" i="9"/>
  <c r="I92" i="4" s="1"/>
  <c r="I104" i="4" s="1"/>
  <c r="BX11" i="22"/>
  <c r="H18" i="22" s="1"/>
  <c r="BX78" i="9"/>
  <c r="I64" i="4"/>
  <c r="BU10" i="22"/>
  <c r="BU14" i="13" s="1"/>
  <c r="BU15" i="13" s="1"/>
  <c r="BU19" i="13" s="1"/>
  <c r="BU10" i="14" s="1"/>
  <c r="BU11" i="14" s="1"/>
  <c r="BU15" i="14" s="1"/>
  <c r="H107" i="9"/>
  <c r="H108" i="9" s="1"/>
  <c r="BX79" i="9"/>
  <c r="B80" i="13"/>
  <c r="B82" i="13" s="1"/>
  <c r="BS21" i="10"/>
  <c r="BS20" i="10"/>
  <c r="BR30" i="13"/>
  <c r="BS29" i="13"/>
  <c r="BT19" i="10"/>
  <c r="BT21" i="10" s="1"/>
  <c r="BT23" i="10"/>
  <c r="BS11" i="14"/>
  <c r="BX14" i="4"/>
  <c r="BX11" i="4" s="1"/>
  <c r="BX35" i="4" s="1"/>
  <c r="BX11" i="10" s="1"/>
  <c r="C53" i="4"/>
  <c r="BQ33" i="13"/>
  <c r="BQ34" i="13" s="1"/>
  <c r="BQ32" i="13"/>
  <c r="BQ31" i="13"/>
  <c r="BU13" i="10"/>
  <c r="BU17" i="10"/>
  <c r="I88" i="4"/>
  <c r="I100" i="4" s="1"/>
  <c r="BW13" i="10"/>
  <c r="BW17" i="10"/>
  <c r="I38" i="14"/>
  <c r="BW13" i="22"/>
  <c r="BW18" i="10"/>
  <c r="BW12" i="22" s="1"/>
  <c r="C18" i="22"/>
  <c r="BT10" i="22"/>
  <c r="BT14" i="13" s="1"/>
  <c r="E38" i="14"/>
  <c r="D35" i="10"/>
  <c r="D40" i="10" s="1"/>
  <c r="D38" i="14"/>
  <c r="I33" i="10"/>
  <c r="C35" i="10"/>
  <c r="BV10" i="22"/>
  <c r="BV14" i="13" s="1"/>
  <c r="BV15" i="13" s="1"/>
  <c r="BV19" i="13" s="1"/>
  <c r="BV10" i="14" s="1"/>
  <c r="BV11" i="14" s="1"/>
  <c r="BV15" i="14" s="1"/>
  <c r="BP36" i="13"/>
  <c r="BQ35" i="13" s="1"/>
  <c r="D112" i="9"/>
  <c r="E90" i="4" s="1"/>
  <c r="E102" i="4" s="1"/>
  <c r="H112" i="9"/>
  <c r="I90" i="4" s="1"/>
  <c r="I102" i="4" s="1"/>
  <c r="B46" i="4"/>
  <c r="D113" i="9"/>
  <c r="E91" i="4" s="1"/>
  <c r="E103" i="4" s="1"/>
  <c r="H113" i="9"/>
  <c r="I91" i="4" s="1"/>
  <c r="I103" i="4" s="1"/>
  <c r="BS24" i="10"/>
  <c r="BS25" i="10"/>
  <c r="BV23" i="10"/>
  <c r="BV19" i="10"/>
  <c r="BV21" i="10" s="1"/>
  <c r="E88" i="4"/>
  <c r="E100" i="4" s="1"/>
  <c r="BX12" i="13" l="1"/>
  <c r="BS26" i="10"/>
  <c r="BQ36" i="13"/>
  <c r="BR35" i="13" s="1"/>
  <c r="D36" i="10"/>
  <c r="BW10" i="22"/>
  <c r="BW14" i="13" s="1"/>
  <c r="BW15" i="13" s="1"/>
  <c r="BW19" i="13" s="1"/>
  <c r="BW10" i="14" s="1"/>
  <c r="BW11" i="14" s="1"/>
  <c r="BW15" i="14" s="1"/>
  <c r="BX12" i="10"/>
  <c r="H34" i="10"/>
  <c r="BT24" i="10"/>
  <c r="BT25" i="10"/>
  <c r="BT26" i="10" s="1"/>
  <c r="BS15" i="14"/>
  <c r="BS16" i="14" s="1"/>
  <c r="BS12" i="14"/>
  <c r="BV25" i="10"/>
  <c r="BV26" i="10" s="1"/>
  <c r="BV24" i="10"/>
  <c r="BT15" i="13"/>
  <c r="BT19" i="13" s="1"/>
  <c r="H109" i="9"/>
  <c r="I53" i="4"/>
  <c r="BR33" i="13"/>
  <c r="BR34" i="13" s="1"/>
  <c r="BR31" i="13"/>
  <c r="BR32" i="13"/>
  <c r="BT20" i="10"/>
  <c r="BX13" i="22"/>
  <c r="C54" i="4"/>
  <c r="C51" i="4" s="1"/>
  <c r="C75" i="4" s="1"/>
  <c r="BX18" i="10"/>
  <c r="BT29" i="13"/>
  <c r="BS30" i="13"/>
  <c r="C36" i="10"/>
  <c r="C40" i="10"/>
  <c r="B22" i="14"/>
  <c r="C44" i="13"/>
  <c r="E44" i="13"/>
  <c r="E47" i="13" s="1"/>
  <c r="E51" i="13" s="1"/>
  <c r="H44" i="13"/>
  <c r="BU23" i="10"/>
  <c r="BU19" i="10"/>
  <c r="I18" i="22"/>
  <c r="D109" i="9"/>
  <c r="H54" i="4"/>
  <c r="BW23" i="10"/>
  <c r="BW19" i="10"/>
  <c r="BW21" i="10" s="1"/>
  <c r="C61" i="13"/>
  <c r="C64" i="13" s="1"/>
  <c r="D61" i="13"/>
  <c r="E61" i="13"/>
  <c r="F61" i="13"/>
  <c r="G61" i="13"/>
  <c r="C47" i="13" l="1"/>
  <c r="C51" i="13" s="1"/>
  <c r="I44" i="13"/>
  <c r="BS33" i="13"/>
  <c r="BS34" i="13" s="1"/>
  <c r="BS31" i="13"/>
  <c r="BS32" i="13"/>
  <c r="BT30" i="13"/>
  <c r="BU29" i="13"/>
  <c r="BR17" i="14"/>
  <c r="H40" i="4"/>
  <c r="H51" i="4"/>
  <c r="H75" i="4" s="1"/>
  <c r="BX12" i="22"/>
  <c r="C41" i="10"/>
  <c r="C42" i="10" s="1"/>
  <c r="D41" i="10"/>
  <c r="H41" i="10"/>
  <c r="BR18" i="14"/>
  <c r="C40" i="4"/>
  <c r="I54" i="4"/>
  <c r="I51" i="4" s="1"/>
  <c r="I75" i="4" s="1"/>
  <c r="BU24" i="10"/>
  <c r="BU25" i="10"/>
  <c r="BU26" i="10" s="1"/>
  <c r="C20" i="22"/>
  <c r="H20" i="22"/>
  <c r="BU20" i="10"/>
  <c r="BV20" i="10" s="1"/>
  <c r="BW20" i="10" s="1"/>
  <c r="BU21" i="10"/>
  <c r="I34" i="10"/>
  <c r="I35" i="10" s="1"/>
  <c r="H35" i="10"/>
  <c r="BT10" i="14"/>
  <c r="BW24" i="10"/>
  <c r="BW25" i="10"/>
  <c r="BW26" i="10" s="1"/>
  <c r="BR36" i="13"/>
  <c r="BS35" i="13" s="1"/>
  <c r="BX13" i="10"/>
  <c r="BX17" i="10"/>
  <c r="G64" i="13"/>
  <c r="G65" i="13" s="1"/>
  <c r="F64" i="13"/>
  <c r="F65" i="13" s="1"/>
  <c r="E64" i="13"/>
  <c r="E65" i="13" s="1"/>
  <c r="D64" i="13"/>
  <c r="D65" i="13" s="1"/>
  <c r="C63" i="13"/>
  <c r="D63" i="13"/>
  <c r="D76" i="13" s="1"/>
  <c r="D75" i="13" s="1"/>
  <c r="D79" i="13" s="1"/>
  <c r="E63" i="13"/>
  <c r="E76" i="13" s="1"/>
  <c r="E75" i="13" s="1"/>
  <c r="E79" i="13" s="1"/>
  <c r="F63" i="13"/>
  <c r="F76" i="13" s="1"/>
  <c r="F75" i="13" s="1"/>
  <c r="F79" i="13" s="1"/>
  <c r="G63" i="13"/>
  <c r="G76" i="13" s="1"/>
  <c r="G75" i="13" s="1"/>
  <c r="G79" i="13" s="1"/>
  <c r="C62" i="13"/>
  <c r="D62" i="13"/>
  <c r="E62" i="13"/>
  <c r="F62" i="13"/>
  <c r="G62" i="13"/>
  <c r="BS36" i="13" l="1"/>
  <c r="BT35" i="13" s="1"/>
  <c r="H45" i="4"/>
  <c r="H46" i="4" s="1"/>
  <c r="I20" i="22"/>
  <c r="C55" i="10"/>
  <c r="D39" i="14"/>
  <c r="D40" i="14" s="1"/>
  <c r="C44" i="10"/>
  <c r="C56" i="10" s="1"/>
  <c r="C43" i="10"/>
  <c r="BT11" i="14"/>
  <c r="I41" i="10"/>
  <c r="D42" i="10"/>
  <c r="BV29" i="13"/>
  <c r="BU30" i="13"/>
  <c r="BX23" i="10"/>
  <c r="BX19" i="10"/>
  <c r="BX21" i="10" s="1"/>
  <c r="BT33" i="13"/>
  <c r="BT34" i="13" s="1"/>
  <c r="BT31" i="13"/>
  <c r="BT32" i="13"/>
  <c r="H36" i="10"/>
  <c r="H40" i="10"/>
  <c r="H42" i="10" s="1"/>
  <c r="C19" i="22"/>
  <c r="D19" i="22"/>
  <c r="D17" i="22" s="1"/>
  <c r="H19" i="22"/>
  <c r="H17" i="22" s="1"/>
  <c r="BX10" i="22"/>
  <c r="BX14" i="13" s="1"/>
  <c r="I36" i="10"/>
  <c r="I40" i="10"/>
  <c r="I40" i="4"/>
  <c r="C45" i="4"/>
  <c r="C76" i="13"/>
  <c r="C75" i="13" s="1"/>
  <c r="C79" i="13" s="1"/>
  <c r="C65" i="13"/>
  <c r="C67" i="13"/>
  <c r="D66" i="13" s="1"/>
  <c r="D67" i="13" s="1"/>
  <c r="E66" i="13" s="1"/>
  <c r="E67" i="13" s="1"/>
  <c r="F66" i="13" s="1"/>
  <c r="F67" i="13" s="1"/>
  <c r="G66" i="13" s="1"/>
  <c r="G67" i="13" s="1"/>
  <c r="H66" i="13" s="1"/>
  <c r="I45" i="4" l="1"/>
  <c r="I46" i="4" s="1"/>
  <c r="I42" i="10"/>
  <c r="C46" i="10"/>
  <c r="D46" i="10"/>
  <c r="D47" i="10" s="1"/>
  <c r="E46" i="10"/>
  <c r="E47" i="10" s="1"/>
  <c r="F46" i="10"/>
  <c r="F47" i="10" s="1"/>
  <c r="G46" i="10"/>
  <c r="G47" i="10" s="1"/>
  <c r="H46" i="10"/>
  <c r="H47" i="10" s="1"/>
  <c r="BT36" i="13"/>
  <c r="BU35" i="13" s="1"/>
  <c r="D43" i="10"/>
  <c r="E43" i="10" s="1"/>
  <c r="F43" i="10" s="1"/>
  <c r="G43" i="10" s="1"/>
  <c r="H43" i="10" s="1"/>
  <c r="I43" i="10" s="1"/>
  <c r="BX20" i="10"/>
  <c r="I19" i="22"/>
  <c r="I17" i="22" s="1"/>
  <c r="C17" i="22"/>
  <c r="C46" i="4"/>
  <c r="I39" i="14"/>
  <c r="I40" i="14" s="1"/>
  <c r="H44" i="10"/>
  <c r="BT15" i="14"/>
  <c r="BT16" i="14" s="1"/>
  <c r="BT12" i="14"/>
  <c r="BX24" i="10"/>
  <c r="BX25" i="10"/>
  <c r="BU33" i="13"/>
  <c r="BU34" i="13" s="1"/>
  <c r="BU32" i="13"/>
  <c r="BU31" i="13"/>
  <c r="BW29" i="13"/>
  <c r="BV30" i="13"/>
  <c r="B23" i="14"/>
  <c r="B24" i="14" s="1"/>
  <c r="I44" i="10"/>
  <c r="BX15" i="13"/>
  <c r="BX19" i="13" s="1"/>
  <c r="BX10" i="14" s="1"/>
  <c r="H46" i="13"/>
  <c r="D55" i="10"/>
  <c r="E39" i="14"/>
  <c r="E40" i="14" s="1"/>
  <c r="D44" i="10"/>
  <c r="D56" i="10" s="1"/>
  <c r="B34" i="14"/>
  <c r="D83" i="13"/>
  <c r="F83" i="13"/>
  <c r="E83" i="13"/>
  <c r="C83" i="13"/>
  <c r="G83" i="13"/>
  <c r="C80" i="13"/>
  <c r="D48" i="10" l="1"/>
  <c r="D49" i="10" s="1"/>
  <c r="E48" i="10"/>
  <c r="E49" i="10" s="1"/>
  <c r="F48" i="10"/>
  <c r="F49" i="10" s="1"/>
  <c r="G48" i="10"/>
  <c r="G49" i="10" s="1"/>
  <c r="H48" i="10"/>
  <c r="H49" i="10" s="1"/>
  <c r="BX26" i="10"/>
  <c r="C48" i="10"/>
  <c r="I46" i="10"/>
  <c r="I47" i="10" s="1"/>
  <c r="C47" i="10"/>
  <c r="BU36" i="13"/>
  <c r="BV35" i="13" s="1"/>
  <c r="BX29" i="13"/>
  <c r="BX30" i="13" s="1"/>
  <c r="BW30" i="13"/>
  <c r="BS17" i="14"/>
  <c r="BU12" i="14"/>
  <c r="BV12" i="14" s="1"/>
  <c r="BV33" i="13"/>
  <c r="BV34" i="13" s="1"/>
  <c r="BV31" i="13"/>
  <c r="BV32" i="13"/>
  <c r="BS18" i="14"/>
  <c r="BU16" i="14"/>
  <c r="I46" i="13"/>
  <c r="I47" i="13" s="1"/>
  <c r="I51" i="13" s="1"/>
  <c r="H47" i="13"/>
  <c r="H51" i="13" s="1"/>
  <c r="BX11" i="14"/>
  <c r="B26" i="14" s="1"/>
  <c r="B32" i="14"/>
  <c r="B28" i="14"/>
  <c r="C43" i="14" s="1"/>
  <c r="D80" i="13"/>
  <c r="C82" i="13"/>
  <c r="I48" i="10" l="1"/>
  <c r="I49" i="10" s="1"/>
  <c r="C49" i="10"/>
  <c r="BT17" i="14"/>
  <c r="BX15" i="14"/>
  <c r="L17" i="16"/>
  <c r="F17" i="16"/>
  <c r="B17" i="16"/>
  <c r="J17" i="16"/>
  <c r="H17" i="16"/>
  <c r="D17" i="16"/>
  <c r="B29" i="14"/>
  <c r="C44" i="14" s="1"/>
  <c r="BU17" i="14"/>
  <c r="BW12" i="14"/>
  <c r="BT18" i="14"/>
  <c r="BV16" i="14"/>
  <c r="BU18" i="14" s="1"/>
  <c r="BW33" i="13"/>
  <c r="BW34" i="13" s="1"/>
  <c r="BW31" i="13"/>
  <c r="BW32" i="13"/>
  <c r="H61" i="13"/>
  <c r="BV36" i="13"/>
  <c r="BW35" i="13" s="1"/>
  <c r="BX33" i="13"/>
  <c r="BX34" i="13" s="1"/>
  <c r="BX32" i="13"/>
  <c r="BX31" i="13"/>
  <c r="E80" i="13"/>
  <c r="D82" i="13"/>
  <c r="H62" i="13" l="1"/>
  <c r="I62" i="13" s="1"/>
  <c r="H63" i="13"/>
  <c r="H76" i="13" s="1"/>
  <c r="H75" i="13" s="1"/>
  <c r="H79" i="13" s="1"/>
  <c r="H83" i="13" s="1"/>
  <c r="B33" i="14"/>
  <c r="B27" i="14"/>
  <c r="C42" i="14" s="1"/>
  <c r="C41" i="14"/>
  <c r="BW16" i="14"/>
  <c r="BV18" i="14" s="1"/>
  <c r="BW36" i="13"/>
  <c r="BX35" i="13" s="1"/>
  <c r="BX36" i="13" s="1"/>
  <c r="BV17" i="14"/>
  <c r="BX12" i="14"/>
  <c r="BX17" i="14" s="1"/>
  <c r="H64" i="13"/>
  <c r="I61" i="13"/>
  <c r="I64" i="13" s="1"/>
  <c r="B81" i="13"/>
  <c r="F80" i="13"/>
  <c r="E82" i="13"/>
  <c r="I63" i="13" l="1"/>
  <c r="BW17" i="14"/>
  <c r="B30" i="14" s="1"/>
  <c r="C45" i="14" s="1"/>
  <c r="BX16" i="14"/>
  <c r="BX18" i="14" s="1"/>
  <c r="H65" i="13"/>
  <c r="H67" i="13"/>
  <c r="I65" i="13"/>
  <c r="I67" i="13"/>
  <c r="G80" i="13"/>
  <c r="F82" i="13"/>
  <c r="BW18" i="14" l="1"/>
  <c r="B31" i="14" s="1"/>
  <c r="C46" i="14" s="1"/>
  <c r="H80" i="13"/>
  <c r="H82" i="13" s="1"/>
  <c r="G82" i="13"/>
</calcChain>
</file>

<file path=xl/sharedStrings.xml><?xml version="1.0" encoding="utf-8"?>
<sst xmlns="http://schemas.openxmlformats.org/spreadsheetml/2006/main" count="1066" uniqueCount="685">
  <si>
    <t>СОДЕРЖАНИЕ</t>
  </si>
  <si>
    <t>Описание раздела</t>
  </si>
  <si>
    <t>Имя листа</t>
  </si>
  <si>
    <t>Ссылка</t>
  </si>
  <si>
    <t>&gt;&gt;&gt;&gt;</t>
  </si>
  <si>
    <t>Календарный план осуществляемых инвестиций в проект по направлениям вложений с указанием источников финансирования</t>
  </si>
  <si>
    <t>Календарный план</t>
  </si>
  <si>
    <t>Прогноз капитальных вложений. Источники финансирования.</t>
  </si>
  <si>
    <t>План продаж</t>
  </si>
  <si>
    <t>Прогноз затрат на персонал</t>
  </si>
  <si>
    <t>ФОТ</t>
  </si>
  <si>
    <t>Прогноз условно-постоянных и переменных затрат</t>
  </si>
  <si>
    <t>Расходы</t>
  </si>
  <si>
    <t>Условия по заемному финансированию. Прогнозный график получения и обслуживания долга</t>
  </si>
  <si>
    <t>Прогнозный отчет о финансовых результатах</t>
  </si>
  <si>
    <t>ОФР</t>
  </si>
  <si>
    <t>Прогноз отчета о движении денежных средств</t>
  </si>
  <si>
    <t>ОДДС</t>
  </si>
  <si>
    <t xml:space="preserve">Налоги </t>
  </si>
  <si>
    <t>Фин.показатели</t>
  </si>
  <si>
    <t>Оценка устойчивости финансовых показателей под влиянием рисков</t>
  </si>
  <si>
    <t>Риски</t>
  </si>
  <si>
    <t>ИСХОДНЫЕ ДАННЫЕ</t>
  </si>
  <si>
    <t>Основные методические предположения</t>
  </si>
  <si>
    <t>Показатель</t>
  </si>
  <si>
    <t>Значение</t>
  </si>
  <si>
    <t>Длительность прогнозного периода</t>
  </si>
  <si>
    <t>Шаг прогноза</t>
  </si>
  <si>
    <t>Начало прогнозного периода</t>
  </si>
  <si>
    <t>Тип денежных потоков</t>
  </si>
  <si>
    <t>номинальные</t>
  </si>
  <si>
    <t>Валюта денежных потоков</t>
  </si>
  <si>
    <t>рубли</t>
  </si>
  <si>
    <t>Метод расчета ставки дисконтирования</t>
  </si>
  <si>
    <t>Макроэкономические данные</t>
  </si>
  <si>
    <t>Налоговое окружение</t>
  </si>
  <si>
    <t>Налог на доходы физических лиц (НДФЛ)</t>
  </si>
  <si>
    <t>Страховые взносы по персоналу:</t>
  </si>
  <si>
    <t>ПФР</t>
  </si>
  <si>
    <t>ФСС</t>
  </si>
  <si>
    <t>ФОМС</t>
  </si>
  <si>
    <t>Расчет ставки дисконтирования</t>
  </si>
  <si>
    <t>Ставка дисконтирования</t>
  </si>
  <si>
    <t>Собственные средства</t>
  </si>
  <si>
    <t>Всего</t>
  </si>
  <si>
    <t>ИНВЕСТИЦИИ И АМОРТИЗАЦИЯ</t>
  </si>
  <si>
    <t>Инвестиционные издержки за весь период проекта</t>
  </si>
  <si>
    <t>№ п/п</t>
  </si>
  <si>
    <t>Источник финансирования</t>
  </si>
  <si>
    <t>Оборотные средства</t>
  </si>
  <si>
    <t>Итого</t>
  </si>
  <si>
    <t>х</t>
  </si>
  <si>
    <t>Ед. изм.</t>
  </si>
  <si>
    <t>ед. изм.</t>
  </si>
  <si>
    <t>%</t>
  </si>
  <si>
    <t>ПРОГНОЗ ЗАТРАТ НА ПЕРСОНАЛ</t>
  </si>
  <si>
    <t>Прогноз потребности в персонале, чел.</t>
  </si>
  <si>
    <t>Страховые взносы</t>
  </si>
  <si>
    <t>Средняя заработная плата, руб.</t>
  </si>
  <si>
    <t>ПРОГНОЗ ОБЪЕМОВ ПРОДАЖ И ВЫРУЧКИ</t>
  </si>
  <si>
    <t>Расчет объемов реализации и выручки</t>
  </si>
  <si>
    <t>тыс. руб.</t>
  </si>
  <si>
    <t>Наименование статьи затрат</t>
  </si>
  <si>
    <t>ПЛАН РАСХОДОВ</t>
  </si>
  <si>
    <t xml:space="preserve"> </t>
  </si>
  <si>
    <t>Постоянные расходы</t>
  </si>
  <si>
    <t>Амортизация</t>
  </si>
  <si>
    <t>Прочие расходы</t>
  </si>
  <si>
    <t>Остаток задолженности</t>
  </si>
  <si>
    <t>Погашение основного долга</t>
  </si>
  <si>
    <t>ПРОГНОЗНЫЙ ОТЧЕТ О ФИНАНСОВЫХ РЕЗУЛЬТАТАХ</t>
  </si>
  <si>
    <t>Наименование статьи</t>
  </si>
  <si>
    <t>EBITDA</t>
  </si>
  <si>
    <t>EBIT</t>
  </si>
  <si>
    <t>Прочие доходы</t>
  </si>
  <si>
    <t>Выручка</t>
  </si>
  <si>
    <t>ПРОГНОЗНЫЙ ОТЧЕТ О ДВИЖЕНИИ ДЕНЕЖНЫХ СРЕДСТВ</t>
  </si>
  <si>
    <t>НДФЛ</t>
  </si>
  <si>
    <t>Выплата заработной платы</t>
  </si>
  <si>
    <t>ПРОГНОЗ НАЛОГОВЫХ ОТЧИСЛЕНИЙ</t>
  </si>
  <si>
    <t>ПРОГНОЗ ФИНАНСОВЫХ ПОКАЗАТЕЛЕЙ ПРОЕКТА</t>
  </si>
  <si>
    <t>Показатели экономической эффективности проекта</t>
  </si>
  <si>
    <t>млн. руб.</t>
  </si>
  <si>
    <t>Ставка дисконтирования, %</t>
  </si>
  <si>
    <t>NPV (чистая приведенная стоимость) проекта</t>
  </si>
  <si>
    <t>PI проекта (рентабельность инвестиций)</t>
  </si>
  <si>
    <t>ед.</t>
  </si>
  <si>
    <t>IRR (внутренняя норма доходности) проекта</t>
  </si>
  <si>
    <t>Срок окупаемости, лет</t>
  </si>
  <si>
    <t>лет</t>
  </si>
  <si>
    <t>Дисконтированный срок окупаемости, лет</t>
  </si>
  <si>
    <t>FCFF</t>
  </si>
  <si>
    <t>Наименование</t>
  </si>
  <si>
    <t>Проценты к уплате</t>
  </si>
  <si>
    <t>Исследуемые риски</t>
  </si>
  <si>
    <t>База</t>
  </si>
  <si>
    <t>Изменение цен</t>
  </si>
  <si>
    <t>Изменение затрат на персонал</t>
  </si>
  <si>
    <t>Анализ чувствительности NPV к исследуемым рискам, млн. руб.</t>
  </si>
  <si>
    <t>Наименование риска</t>
  </si>
  <si>
    <t>Флаг для расчета окупаемости</t>
  </si>
  <si>
    <t>Индекс-дефлятор</t>
  </si>
  <si>
    <t>Значение в год</t>
  </si>
  <si>
    <t>Объемы продаж  по проекту</t>
  </si>
  <si>
    <t>Себестоимость</t>
  </si>
  <si>
    <t>Прибыль (убыток) от продаж</t>
  </si>
  <si>
    <t>Прибыль (убыток) до налогообложения</t>
  </si>
  <si>
    <t>Чистая прибыль (убыток)</t>
  </si>
  <si>
    <t>Страховые взносы от ФОТ</t>
  </si>
  <si>
    <t>Всего расходы</t>
  </si>
  <si>
    <t>Рентабельность продаж, %</t>
  </si>
  <si>
    <t>Чистая рентабельность, %</t>
  </si>
  <si>
    <t>EBITDA / Выручка, %</t>
  </si>
  <si>
    <t>EBIT / Выручка, %</t>
  </si>
  <si>
    <t>Всего по проекту</t>
  </si>
  <si>
    <t>Всего ФОТ по проекту</t>
  </si>
  <si>
    <t>Бюджет затрат на персонал, тыс. руб.</t>
  </si>
  <si>
    <t>Поступления по операционной деятельности</t>
  </si>
  <si>
    <t>ДП от операционной деятельности</t>
  </si>
  <si>
    <t>Капитальные вложения</t>
  </si>
  <si>
    <t>ДП от инвестиционной деятельности</t>
  </si>
  <si>
    <t>Погашение основной суммы долга</t>
  </si>
  <si>
    <t>ДП от финансовой деятельности</t>
  </si>
  <si>
    <t>Денежные средства на начало периода</t>
  </si>
  <si>
    <t>Денежные средства на конец периода</t>
  </si>
  <si>
    <t>Операционная деятельность</t>
  </si>
  <si>
    <t>Инвестиционная деятельность</t>
  </si>
  <si>
    <t>Финансовая деятельность</t>
  </si>
  <si>
    <t>Уплата налогов</t>
  </si>
  <si>
    <t>Выплаты поставщикам</t>
  </si>
  <si>
    <t>Прогноз денежных потоков по проекту, тыс. руб.</t>
  </si>
  <si>
    <t>Итоговый дисконт-фактор</t>
  </si>
  <si>
    <t>FCF накопленным итогом</t>
  </si>
  <si>
    <t>Дисконт-фактор в периоде</t>
  </si>
  <si>
    <t>DFCF накопленным итогом</t>
  </si>
  <si>
    <t>Индекс роста номинальной заработной платы</t>
  </si>
  <si>
    <t>План по персоналу</t>
  </si>
  <si>
    <t>Расходы по проекту, тыс. руб.</t>
  </si>
  <si>
    <t>Базовые параметры планирования постоянных затрат</t>
  </si>
  <si>
    <t>Цены и тарифы</t>
  </si>
  <si>
    <t>Основные методологические предположения, налоговое окружение и макроэкономические прогнозы, текущие данные и допущения по проекту, используемые для построения финансовой модели</t>
  </si>
  <si>
    <t>Книга допущений</t>
  </si>
  <si>
    <t>Прогноз налоговых отчислений</t>
  </si>
  <si>
    <t>Финансовые показатели проекта</t>
  </si>
  <si>
    <t>Структура и динамика расходов по элементам</t>
  </si>
  <si>
    <t>АНАЛИЗ РИСКОВ ПО ПРОЕКТУ</t>
  </si>
  <si>
    <t>-</t>
  </si>
  <si>
    <t>Чистая прибыль (убыток) накопительно</t>
  </si>
  <si>
    <t>FCF с учетом уплаты процентов</t>
  </si>
  <si>
    <t>По кварталам, тыс. руб.</t>
  </si>
  <si>
    <t>По годам тыс. руб.</t>
  </si>
  <si>
    <t>Налоги по проекту по кварталам, тыс. руб.</t>
  </si>
  <si>
    <t>Прогнозный отчет о движении денежных средств поквартально, тыс. руб.</t>
  </si>
  <si>
    <t>Прогнозный отчет о движении денежных средств по годам, тыс. руб.</t>
  </si>
  <si>
    <t>Расчет себестоимости по годам в тыс.руб.</t>
  </si>
  <si>
    <t>Чистая прибыль</t>
  </si>
  <si>
    <t>Статья затрат</t>
  </si>
  <si>
    <t>Источник</t>
  </si>
  <si>
    <t>Ключевая ставка ЦБ РФ</t>
  </si>
  <si>
    <t>http://cbr.ru</t>
  </si>
  <si>
    <t>Темп инфляции (текущий год)</t>
  </si>
  <si>
    <t>Поправка на риск</t>
  </si>
  <si>
    <t>Методика Правительства РФ №1470 (от 22.11.97)</t>
  </si>
  <si>
    <t>Финансовая модель проекта</t>
  </si>
  <si>
    <t xml:space="preserve">Должность </t>
  </si>
  <si>
    <t>Бюджет затрат на персонал по годам реализации проекта</t>
  </si>
  <si>
    <t>Статья расходов</t>
  </si>
  <si>
    <t>Базовые параметры планирования переменных затрат</t>
  </si>
  <si>
    <t>Переменные расходы</t>
  </si>
  <si>
    <t>Свинина</t>
  </si>
  <si>
    <t>Говядина</t>
  </si>
  <si>
    <t>Индейка</t>
  </si>
  <si>
    <t>Курица</t>
  </si>
  <si>
    <t>Ремонт и содержание имущества</t>
  </si>
  <si>
    <t>Привлечение кредитов</t>
  </si>
  <si>
    <t>Погашение процентов</t>
  </si>
  <si>
    <t>Чистая рентабельность</t>
  </si>
  <si>
    <t>IRR с учетом процентов по займам и кредитам</t>
  </si>
  <si>
    <t>Кредиты</t>
  </si>
  <si>
    <t>Показатели экономической эффективности проекта по годам</t>
  </si>
  <si>
    <t>2014 год</t>
  </si>
  <si>
    <t>2015 год</t>
  </si>
  <si>
    <t>2016 год</t>
  </si>
  <si>
    <t>2017 год</t>
  </si>
  <si>
    <t>2018 год</t>
  </si>
  <si>
    <t>факт</t>
  </si>
  <si>
    <t>Чистые активы</t>
  </si>
  <si>
    <t>Россия</t>
  </si>
  <si>
    <t>ЦФО</t>
  </si>
  <si>
    <t>Московская область</t>
  </si>
  <si>
    <t>Центральный федеральный округ</t>
  </si>
  <si>
    <t>Мясо птицы</t>
  </si>
  <si>
    <t>Мясо КРС</t>
  </si>
  <si>
    <t>Баранина</t>
  </si>
  <si>
    <t>Игдейка</t>
  </si>
  <si>
    <t>Импорт, тонн</t>
  </si>
  <si>
    <t>Экспорт, тонн</t>
  </si>
  <si>
    <t>Мясо (свинина, говядина, баранина)</t>
  </si>
  <si>
    <t/>
  </si>
  <si>
    <t>2017</t>
  </si>
  <si>
    <t>2018</t>
  </si>
  <si>
    <t>2019</t>
  </si>
  <si>
    <t>Российская Федерация</t>
  </si>
  <si>
    <t>Москва</t>
  </si>
  <si>
    <t>Вид продукции</t>
  </si>
  <si>
    <t>Год</t>
  </si>
  <si>
    <t>Российская федерация</t>
  </si>
  <si>
    <t>План продаж по годам</t>
  </si>
  <si>
    <t>пп/п</t>
  </si>
  <si>
    <t>Вид имущества</t>
  </si>
  <si>
    <t>Кол-во</t>
  </si>
  <si>
    <t>Рыночная стоимость, руб.</t>
  </si>
  <si>
    <t>ИнструментыИн</t>
  </si>
  <si>
    <t>Имущество</t>
  </si>
  <si>
    <t>Пила КТ-210, инв.№00000472</t>
  </si>
  <si>
    <t>1 ед.</t>
  </si>
  <si>
    <t>Машины и оборудование</t>
  </si>
  <si>
    <t>Samsung E1920, инв.№00000508</t>
  </si>
  <si>
    <t>Волчок LM 82 P, инв.№00000359</t>
  </si>
  <si>
    <t>Газоанализатор (на кислород) Oxibaby, инв.№00000330</t>
  </si>
  <si>
    <t>3 254,23</t>
  </si>
  <si>
    <t>4 668,81</t>
  </si>
  <si>
    <t>Производстводственный и хозяйственный инвентарь</t>
  </si>
  <si>
    <t>Бойлер ОКС-300 NTR/BP, инв.№00000442</t>
  </si>
  <si>
    <t>3 285,14</t>
  </si>
  <si>
    <t>Бойлер ОКС-300 NTR/BP 1, инв.№00000443</t>
  </si>
  <si>
    <t>Вешалка, инв.№00000513</t>
  </si>
  <si>
    <t>Докшелтер занавесочный 3420х3530(Н) складывающийся, инв.№00000332</t>
  </si>
  <si>
    <t>4 305,76</t>
  </si>
  <si>
    <t>Комплектующие к откатным воротам, инв.№00000321</t>
  </si>
  <si>
    <t>1 530,00</t>
  </si>
  <si>
    <t>Кресла, инв.№00000515, 13 штук</t>
  </si>
  <si>
    <t>13 ед.</t>
  </si>
  <si>
    <t>Сейф, инв.№00000519</t>
  </si>
  <si>
    <t>1 067,79</t>
  </si>
  <si>
    <t>Сортировщик банкнот MSD-1000 SD/UV/MG/IR, инв.№00000422</t>
  </si>
  <si>
    <t>8 949,15</t>
  </si>
  <si>
    <t>Стеллаж для папок, инв.№00000520</t>
  </si>
  <si>
    <t>1 281,36</t>
  </si>
  <si>
    <t>Стол руководителя, инв.№00000514</t>
  </si>
  <si>
    <t>1 779,66</t>
  </si>
  <si>
    <t>Стулья, инв.№00000518, 14 штук</t>
  </si>
  <si>
    <t>14 ед.</t>
  </si>
  <si>
    <t>Тепловая завеса "Тепломаш КЭВ-12П 303", инв.№00000263</t>
  </si>
  <si>
    <t>3 460,32</t>
  </si>
  <si>
    <t>Тумба с ящиками, инв.№00000512</t>
  </si>
  <si>
    <t>Шкаф ср. купе Premier 1400 202410552002, инв.№00000435</t>
  </si>
  <si>
    <t>Шкаф ср. ст. Framek, инв.№00000410</t>
  </si>
  <si>
    <t>2 542,37</t>
  </si>
  <si>
    <t>Шкаф ср.ст. Caravell 800, инв.№00000412</t>
  </si>
  <si>
    <t>Электрокотел РУС НИТ 208, инв.№00000262</t>
  </si>
  <si>
    <t>1 428,00</t>
  </si>
  <si>
    <t>Прочий инвентарь и оргтехника</t>
  </si>
  <si>
    <t>Ворота секционные 2700*2700, инв.№00000388</t>
  </si>
  <si>
    <t>17 857,62</t>
  </si>
  <si>
    <t>Герметизатор проема DoorHan 3,4*3,4, инв.№00000366</t>
  </si>
  <si>
    <t>3 325,42</t>
  </si>
  <si>
    <t>Герметизатор проема DoorHan 3,4*3,4 1, инв.№00000367</t>
  </si>
  <si>
    <t>Дверь М\10 1200*2050 R, инв.№00000295</t>
  </si>
  <si>
    <t>3 002,03</t>
  </si>
  <si>
    <t>Дверь М\6 1200*2050 R, инв.№00000296</t>
  </si>
  <si>
    <t>2 379,66</t>
  </si>
  <si>
    <t>Дверь М\6 1200*2050 R*, инв.№00000297</t>
  </si>
  <si>
    <t>2 440,67</t>
  </si>
  <si>
    <t>Компьютер для менеджера, инв.№00000302</t>
  </si>
  <si>
    <t>2 303,86</t>
  </si>
  <si>
    <t>Компьютер для склада, инв.№00000288</t>
  </si>
  <si>
    <t>2 334,18</t>
  </si>
  <si>
    <t>Компьютер ком.отд., инв.№00000287</t>
  </si>
  <si>
    <t>2 271,35</t>
  </si>
  <si>
    <t>Ворота откатные с электроприводом, инв.№00000317</t>
  </si>
  <si>
    <t>Пластиковая конструкция перегородка ПВХ, инв.№00000462</t>
  </si>
  <si>
    <t>10 169,49</t>
  </si>
  <si>
    <t>Секционные ворота EUROGATE(2700*2700h) 1, инв.№00000364</t>
  </si>
  <si>
    <t>Транспортные средства</t>
  </si>
  <si>
    <t>Транспортное средство</t>
  </si>
  <si>
    <t>Электрический погрузчик Jungheinrich, инв.№00000561</t>
  </si>
  <si>
    <t>Электропогрузчик TOYOTA 7FBE13, инв.№00000542</t>
  </si>
  <si>
    <t xml:space="preserve">                                                                                         ИТОГО:</t>
  </si>
  <si>
    <t>2 988 628,28</t>
  </si>
  <si>
    <t>Инструмент</t>
  </si>
  <si>
    <t>Аппарат высокого давления</t>
  </si>
  <si>
    <t>Бак нержавеющий с ребрами жесткости (1000л)</t>
  </si>
  <si>
    <t>Вакуумный упаковщик Henkelman</t>
  </si>
  <si>
    <t>Весы электронные монорельсовые ВМТ-600</t>
  </si>
  <si>
    <t>Внутренний блок кондиционера кас.типа</t>
  </si>
  <si>
    <t>Воздуховод текстильный С500/9000</t>
  </si>
  <si>
    <t>Ворота (комплект) секционные</t>
  </si>
  <si>
    <t>Герметизатор проема со склад.рамкой</t>
  </si>
  <si>
    <t>Дверь</t>
  </si>
  <si>
    <t>Дисковая пила FREUND K18-01</t>
  </si>
  <si>
    <t>Запайщик "ШОВ-Е-300-ЗП"</t>
  </si>
  <si>
    <t>Запайщик контейнеров Italianpack</t>
  </si>
  <si>
    <t>Инъектор посолочный Poekelboy</t>
  </si>
  <si>
    <t>Камерное оборудование</t>
  </si>
  <si>
    <t xml:space="preserve">Компрессор </t>
  </si>
  <si>
    <t>Компьютер</t>
  </si>
  <si>
    <t>Конвеер ленточный Л5000/500</t>
  </si>
  <si>
    <t>Кондиционер</t>
  </si>
  <si>
    <t>Котел твердотопливный</t>
  </si>
  <si>
    <t>Котел водонагревный Maxi</t>
  </si>
  <si>
    <t>Машина многоцелевая для резки</t>
  </si>
  <si>
    <t>Машина шкуросъемная NOCK</t>
  </si>
  <si>
    <t>Льдогенератор SF500</t>
  </si>
  <si>
    <t>Напольный конвектор с танг.вент. КТ-3</t>
  </si>
  <si>
    <t>Наружный блок кондиционера кас.типа</t>
  </si>
  <si>
    <t>Паллетообмотчик EcoPLAT FRD 1650</t>
  </si>
  <si>
    <t>Панель кондиционера кассетного</t>
  </si>
  <si>
    <t>Пила дисковая</t>
  </si>
  <si>
    <t>Полуавтомат ТР-201</t>
  </si>
  <si>
    <t>Пресс</t>
  </si>
  <si>
    <t>Принтер kyocera FS-6970DN</t>
  </si>
  <si>
    <t>Принтер этикеток TSC TTP</t>
  </si>
  <si>
    <t>Пульт ДУ кондиционера</t>
  </si>
  <si>
    <t>Санпропускник односторонний прох.типа для чистки</t>
  </si>
  <si>
    <t>Системный блок</t>
  </si>
  <si>
    <t>Сканер лазерный штрихкодов</t>
  </si>
  <si>
    <t>Смеситель рассола V=500 л</t>
  </si>
  <si>
    <t>Стерилизатор для боксов с ножами</t>
  </si>
  <si>
    <t>Страппинг-машина ТР-6000-1</t>
  </si>
  <si>
    <t>Счетчик банкнот MAGNER 150 Digital</t>
  </si>
  <si>
    <t>Установка холодильная 12V</t>
  </si>
  <si>
    <t>Устройство для ручной обвалки окорочков Э-1103</t>
  </si>
  <si>
    <t>Устройство зарядное МЕА40/80Е 2005г</t>
  </si>
  <si>
    <t>Холодильн.установк</t>
  </si>
  <si>
    <t>Холодильная камера</t>
  </si>
  <si>
    <t>Холодильная машина EXPRESSCOOL</t>
  </si>
  <si>
    <t>Бойлер ОКС-300 NTR/BP</t>
  </si>
  <si>
    <t>Докшелтер занавесочный 3420х3530</t>
  </si>
  <si>
    <t>Тепловая завеса "Тепломаш КЭВ-12П 303"</t>
  </si>
  <si>
    <t>Герметизатор проема DoorHan 3,4*3,4</t>
  </si>
  <si>
    <t>Ворота откатные с электроприводом</t>
  </si>
  <si>
    <t>Пластиковая конструкция перегородка ПВХ</t>
  </si>
  <si>
    <t>Электрический погрузчик Jungheinrich</t>
  </si>
  <si>
    <t>Электропогрузчик TOYOTA 7FBE13</t>
  </si>
  <si>
    <t>, инв.№00000525</t>
  </si>
  <si>
    <t>Электропогрузчик Komatsu FB-15M</t>
  </si>
  <si>
    <t>Макс</t>
  </si>
  <si>
    <t>Новый этап развития НОЧУ ДПО "Институт опережающего образования"</t>
  </si>
  <si>
    <t>Загрузка от целевого объема оказания услуг</t>
  </si>
  <si>
    <t>Сезонность оказания услуг</t>
  </si>
  <si>
    <t>Офисные расходы</t>
  </si>
  <si>
    <t>Связь и интернет</t>
  </si>
  <si>
    <t>Наименование статей затрат</t>
  </si>
  <si>
    <t>Инвестиции</t>
  </si>
  <si>
    <t>мес.</t>
  </si>
  <si>
    <t>Базовые параметры плана продаж</t>
  </si>
  <si>
    <t>Стоимость, тыс. руб.</t>
  </si>
  <si>
    <t>3.1</t>
  </si>
  <si>
    <t>3.2</t>
  </si>
  <si>
    <t>3.3</t>
  </si>
  <si>
    <t>Затраты на персонал</t>
  </si>
  <si>
    <t>Коммерческие расходы</t>
  </si>
  <si>
    <t>Заемные средства</t>
  </si>
  <si>
    <t>Вложения</t>
  </si>
  <si>
    <t>Прогноз объемов продаж</t>
  </si>
  <si>
    <t>Изменение инвестиций</t>
  </si>
  <si>
    <t>Чистый денежный поток проекта (FCF)</t>
  </si>
  <si>
    <t>Дисконтированный денежный поток (DFCF)</t>
  </si>
  <si>
    <t>Значение по месяцам</t>
  </si>
  <si>
    <t>чел./сеанс</t>
  </si>
  <si>
    <t>План выхода на целевой объем продаж</t>
  </si>
  <si>
    <t>Коммунальные платежи</t>
  </si>
  <si>
    <t>Расход в месяц , руб.</t>
  </si>
  <si>
    <t>Цены реализации</t>
  </si>
  <si>
    <t>Выручка всего</t>
  </si>
  <si>
    <t>1 год</t>
  </si>
  <si>
    <t>2 год</t>
  </si>
  <si>
    <t>3 год</t>
  </si>
  <si>
    <t>4 год</t>
  </si>
  <si>
    <t>5 год</t>
  </si>
  <si>
    <t>ФОТ по направлениям</t>
  </si>
  <si>
    <t>Средняя цена</t>
  </si>
  <si>
    <t>Рентабельность</t>
  </si>
  <si>
    <t>Налоги по годам, тыс. руб.</t>
  </si>
  <si>
    <t>Налог по УСН</t>
  </si>
  <si>
    <t>FCF до привлечения средств</t>
  </si>
  <si>
    <t>Бухгалтерское обслуживание</t>
  </si>
  <si>
    <t>6 год</t>
  </si>
  <si>
    <t>7 год</t>
  </si>
  <si>
    <t>Выплата дивидендов</t>
  </si>
  <si>
    <t>Загрузка к целевому объему</t>
  </si>
  <si>
    <t>руб.</t>
  </si>
  <si>
    <t>Расход на единицу услуги</t>
  </si>
  <si>
    <t>Цена ед., руб.</t>
  </si>
  <si>
    <t>Доля в чеке, %</t>
  </si>
  <si>
    <t>Электроэнергия</t>
  </si>
  <si>
    <t>Расходные материалы</t>
  </si>
  <si>
    <t>кВт</t>
  </si>
  <si>
    <t>м3</t>
  </si>
  <si>
    <t>2.1</t>
  </si>
  <si>
    <t>2.2</t>
  </si>
  <si>
    <t>Наименование мероприятия, перечень работ</t>
  </si>
  <si>
    <t>месяц</t>
  </si>
  <si>
    <t>Водоснабжение и водоотведение</t>
  </si>
  <si>
    <t>6 лет</t>
  </si>
  <si>
    <t>Парк мобильных домов</t>
  </si>
  <si>
    <t>Количество</t>
  </si>
  <si>
    <t>Цена ед, руб.</t>
  </si>
  <si>
    <t>Строительство</t>
  </si>
  <si>
    <t>FREEDOM NATURI Эко-модуль оснащение</t>
  </si>
  <si>
    <t>FREEDOM 500 ЗИМА</t>
  </si>
  <si>
    <t>кухня</t>
  </si>
  <si>
    <t>Размещение, чел</t>
  </si>
  <si>
    <t>Стоимость</t>
  </si>
  <si>
    <t>Цена</t>
  </si>
  <si>
    <t>Эко-модуль с мебелью в сборе (цена с учетом НДС)</t>
  </si>
  <si>
    <t>Комплектация кухни с учетом монтажа</t>
  </si>
  <si>
    <t>Панель стеклокерамическая индукционная 2 конфорки</t>
  </si>
  <si>
    <t>Мойка кухонная</t>
  </si>
  <si>
    <t>Смеситель для умывальника с гибкой подводкой</t>
  </si>
  <si>
    <t>С/у - комплектация полная с учетом монтажа, кроме унитаза - на выбор в зависимости от коммуникаций</t>
  </si>
  <si>
    <t>Поддон душевой акриловый 70*90</t>
  </si>
  <si>
    <t>Душевая стойка со смесителем</t>
  </si>
  <si>
    <t>Карниз для шторки в ванну</t>
  </si>
  <si>
    <t>Полка в душ.кабину</t>
  </si>
  <si>
    <t>Тумбочка под раковину деревянная радиусная</t>
  </si>
  <si>
    <t>Раковина круглая 40 см</t>
  </si>
  <si>
    <t>Зеркало</t>
  </si>
  <si>
    <t>Полка стеклянная стекло-хром</t>
  </si>
  <si>
    <t>Дозатор для жидкого мыла стекло-хром</t>
  </si>
  <si>
    <t>Стакан для зубных щеток стекло-хром</t>
  </si>
  <si>
    <t>Крючки в с/у</t>
  </si>
  <si>
    <t>Ёрш с колбой навесной стекло</t>
  </si>
  <si>
    <t>Держатель для туалетной бумаги</t>
  </si>
  <si>
    <t>Вентилятор нерж. Д100</t>
  </si>
  <si>
    <t>Светильник светодиодный в с/у</t>
  </si>
  <si>
    <t>Канализация с учетом монтажа</t>
  </si>
  <si>
    <t>Унитаз (комплект) для подключения к коммуникациям на участке</t>
  </si>
  <si>
    <t>Водонагреватель 30 л</t>
  </si>
  <si>
    <t>Обогрев / охлаждение с учетом монтажа</t>
  </si>
  <si>
    <t>Полотенцесушитель электрический в с/у</t>
  </si>
  <si>
    <t>Кондиционер с кронштейнами для установки, откраска наружнего блока и оформление в коричневом цвете</t>
  </si>
  <si>
    <t>Установка на участке с учетом монтажа</t>
  </si>
  <si>
    <t>Ноги металлические оцинкованные спец. - комплект 4 шт. + закладные под домкраты и ноги на корпусе модуля</t>
  </si>
  <si>
    <t>Лестница к модулю</t>
  </si>
  <si>
    <t>Инвентарь и хоз.принадлежности:</t>
  </si>
  <si>
    <t>КРЮЧОК САМОКЛЕЮЩИЙСЯ</t>
  </si>
  <si>
    <t>БАК ДЛЯ МУСОРА 3Л ХРОМ</t>
  </si>
  <si>
    <t xml:space="preserve">КОРЗИНА «PAPER», 10X10X20 (Для косметических принадлежностей) </t>
  </si>
  <si>
    <t>КОРЗИНА «PAPER», 10X10X20 (Для чайной станции)</t>
  </si>
  <si>
    <t>Аромат. Сухоцвет.</t>
  </si>
  <si>
    <t>Коврик для сушки посуды, 44x36 см</t>
  </si>
  <si>
    <t>Подставка под горячее, 19 см</t>
  </si>
  <si>
    <t>Ковры и текстиль:</t>
  </si>
  <si>
    <t>КПБ 2х сп. (сатин-страйп 3*3, плотность 140 гр/м. Крой попереч.) Комплектация: наволочка 72*52 - 2 шт., простыня 240*235 - 1 шт., пододеяльник 180*225 - 1 шт.</t>
  </si>
  <si>
    <t>Полотенце махровое 50*90</t>
  </si>
  <si>
    <t>Полотенце махровое 70*140</t>
  </si>
  <si>
    <t>Полотенце для ног 50*70</t>
  </si>
  <si>
    <t>Подушка ППУ-50*70, ультрастеп холфитекс (чехол на молнии - поликоттон)</t>
  </si>
  <si>
    <t>Одеяло 172*205 облегченное</t>
  </si>
  <si>
    <t>Наматрасник 160*220 водонепроницаемый с бортом</t>
  </si>
  <si>
    <t>МАТРАС Матрас ортопедический 218 (независимый пружинный блок). Размер 160*200. Высота 20 см. Чехол: простеганный жаккард</t>
  </si>
  <si>
    <t>КОВРИК ВХОДНОЙ</t>
  </si>
  <si>
    <t>ШТОРА</t>
  </si>
  <si>
    <t>ФИКСАТОРЫ ПРОТИВОСКОЛЬЗЯЩИЕ ДЛЯ КОВРОВ 4 ШТ.</t>
  </si>
  <si>
    <t>КОВРИК ХЛОПОК 70X200СМ</t>
  </si>
  <si>
    <t>Пошив шторы</t>
  </si>
  <si>
    <t>Покрывало 200*220</t>
  </si>
  <si>
    <t>Полотенце кухонное</t>
  </si>
  <si>
    <t>Прихватка</t>
  </si>
  <si>
    <t>Посуда:</t>
  </si>
  <si>
    <t>ПОДНОС С НОЖКАМИ 50*30*6</t>
  </si>
  <si>
    <t>ТАРЕЛКА СУПОВАЯ</t>
  </si>
  <si>
    <t>ТАРЕЛКА ДЕСЕРТНАЯ</t>
  </si>
  <si>
    <t>ЛОЖКА ИЗ БАМБУКА 30 СМ</t>
  </si>
  <si>
    <t>ЛОПАТКА ИЗ БАМБУКА С ПРОРЕЗЯМИ</t>
  </si>
  <si>
    <t>ДОСКА РАЗДЕЛОЧНАЯ 28*18*0.8 СМ БАМБУК</t>
  </si>
  <si>
    <t>КРУЖКА 320 МЛ</t>
  </si>
  <si>
    <t>НАБ.СТОЛ.ПРИБ. 16 ПР.</t>
  </si>
  <si>
    <t>ПОДСТД/СТ ПР DELINIANEO 12X12X13</t>
  </si>
  <si>
    <t>БАНКА СТЕКЛО ДЛЯ СУХОЦВЕТА 2,3л</t>
  </si>
  <si>
    <t>ШТОПОР</t>
  </si>
  <si>
    <t>Техника:</t>
  </si>
  <si>
    <t>Холодильник</t>
  </si>
  <si>
    <t>Фен</t>
  </si>
  <si>
    <t>Электрочайник</t>
  </si>
  <si>
    <t>Терраса, оснащение придомовой территории</t>
  </si>
  <si>
    <t>Стоимость модуля</t>
  </si>
  <si>
    <t>Стоимость оснащения</t>
  </si>
  <si>
    <t>Стоимость модуля с оснащением</t>
  </si>
  <si>
    <t>Модуль</t>
  </si>
  <si>
    <t>Оснащение модуля</t>
  </si>
  <si>
    <t>Гостевые домики</t>
  </si>
  <si>
    <t>Администрация</t>
  </si>
  <si>
    <t xml:space="preserve">Строительство </t>
  </si>
  <si>
    <t>Оснащение</t>
  </si>
  <si>
    <t>Склад</t>
  </si>
  <si>
    <t>Бани</t>
  </si>
  <si>
    <t>Клуб с рестораном</t>
  </si>
  <si>
    <t>Workout площадка</t>
  </si>
  <si>
    <t>Детская площадка</t>
  </si>
  <si>
    <t>Барбекю-парк</t>
  </si>
  <si>
    <t>Костровая зона</t>
  </si>
  <si>
    <t>Тент-беседка (кафе)</t>
  </si>
  <si>
    <t>Прокат/байкшеринг</t>
  </si>
  <si>
    <t>Развлекательные площадки</t>
  </si>
  <si>
    <t>Благоустройство</t>
  </si>
  <si>
    <t>Инженерные сети</t>
  </si>
  <si>
    <t>Проектирование</t>
  </si>
  <si>
    <t>Дороги/тропинки/парковки/гравий</t>
  </si>
  <si>
    <t>Парковая зона, озеленение, деревья</t>
  </si>
  <si>
    <t>СПИ для расчета аморт., мес.</t>
  </si>
  <si>
    <t>Срок осуществления вложений</t>
  </si>
  <si>
    <t>КАЛЕНДАРНЫЙ ПЛАН</t>
  </si>
  <si>
    <t xml:space="preserve">График строительства </t>
  </si>
  <si>
    <t>Количество готовых домиков</t>
  </si>
  <si>
    <t>Гостевые домики Блок №1 Активный (7 шт.)</t>
  </si>
  <si>
    <t>Гостевые домики Блок №3 Корпоративный (21 шт.)</t>
  </si>
  <si>
    <t>Тент-беседка</t>
  </si>
  <si>
    <t>Клуб (с рестораном)</t>
  </si>
  <si>
    <t>Гостевые домики Блок №4 Семейный (8 шт.)</t>
  </si>
  <si>
    <t>Банный комплекс</t>
  </si>
  <si>
    <t>Гостевые домики Блок №2 Молодежный  (12 шт.)</t>
  </si>
  <si>
    <t>Всего строительство гостевых  домиков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</si>
  <si>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</si>
  <si>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</si>
  <si>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</si>
  <si>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</si>
  <si>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</si>
  <si>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</si>
  <si>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</si>
  <si>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</si>
  <si>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</si>
  <si>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ИТОГО</t>
  </si>
  <si>
    <t>Проживание</t>
  </si>
  <si>
    <t>Питание</t>
  </si>
  <si>
    <t>Прокат спортивного инвентаря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</si>
  <si>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</si>
  <si>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</si>
  <si>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</si>
  <si>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</si>
  <si>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</si>
  <si>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</si>
  <si>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</si>
  <si>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</si>
  <si>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</si>
  <si>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</si>
  <si>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</si>
  <si>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</si>
  <si>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Целевой объем оказания услуг</t>
  </si>
  <si>
    <t>дом/сут.</t>
  </si>
  <si>
    <t>Целевая загрузка гостиничного комлекса</t>
  </si>
  <si>
    <t>Доля постояльцев, пользующихся услугами</t>
  </si>
  <si>
    <t>Среднее количество проживающих в 1 домике</t>
  </si>
  <si>
    <t>Услуга</t>
  </si>
  <si>
    <t>c  2023</t>
  </si>
  <si>
    <t>Дополнительные услуги</t>
  </si>
  <si>
    <t>Основные услуги (проживание и питание)</t>
  </si>
  <si>
    <t>Генеральный директор</t>
  </si>
  <si>
    <t>Менеджер</t>
  </si>
  <si>
    <t>Бухгалтер</t>
  </si>
  <si>
    <t>Инженер ПТО</t>
  </si>
  <si>
    <t xml:space="preserve">Администратор </t>
  </si>
  <si>
    <t>Старшая горничная</t>
  </si>
  <si>
    <t>Хаус-менеджер</t>
  </si>
  <si>
    <t>Служба размещения</t>
  </si>
  <si>
    <t>Ресторан</t>
  </si>
  <si>
    <t>Шеф-повар</t>
  </si>
  <si>
    <t>Повар</t>
  </si>
  <si>
    <t>Администратор ресторана</t>
  </si>
  <si>
    <t>Официант/бариста</t>
  </si>
  <si>
    <t>Управление</t>
  </si>
  <si>
    <t>Хоз. служба</t>
  </si>
  <si>
    <t>Подсобный рабочий</t>
  </si>
  <si>
    <t>Уборщик территории</t>
  </si>
  <si>
    <t>Аренда земельного участка</t>
  </si>
  <si>
    <t>Охрана</t>
  </si>
  <si>
    <t>Наружная и печатная реклама</t>
  </si>
  <si>
    <t>Администратор доп. услуг</t>
  </si>
  <si>
    <t>Вывоз мусора</t>
  </si>
  <si>
    <t>Эксплуатационные расходы</t>
  </si>
  <si>
    <t>Продукты</t>
  </si>
  <si>
    <t>домик/сутки</t>
  </si>
  <si>
    <t>Ремонт и обновление спорт-инвентаря</t>
  </si>
  <si>
    <t>Подразделение / должность</t>
  </si>
  <si>
    <t>Должность / подразделение</t>
  </si>
  <si>
    <t>Подразделение / Должность</t>
  </si>
  <si>
    <t>Зарплата, руб./мес.</t>
  </si>
  <si>
    <t>Количество, чел.</t>
  </si>
  <si>
    <t>Количество, 
чел.</t>
  </si>
  <si>
    <t>Упрощенное штатное расписание</t>
  </si>
  <si>
    <t>Средняя заработная плата, тыс. руб.</t>
  </si>
  <si>
    <t>Фонд оплаты труда персонала</t>
  </si>
  <si>
    <t>Услуги сервисов бронирования</t>
  </si>
  <si>
    <t>Услуги турагентств</t>
  </si>
  <si>
    <t>Контекстная реклама и таргетинг</t>
  </si>
  <si>
    <t>Материальные расходы</t>
  </si>
  <si>
    <t>Текущий ремонт</t>
  </si>
  <si>
    <t>Средняя себестоимость услуги</t>
  </si>
  <si>
    <t>Стоимость имущества, тыс. руб.</t>
  </si>
  <si>
    <t>СПИ, мес.</t>
  </si>
  <si>
    <t>Норма аморт.</t>
  </si>
  <si>
    <t>Наименование амортизируемого имущества</t>
  </si>
  <si>
    <t>№</t>
  </si>
  <si>
    <t>Ввод в эксплуатацию объектов строительства</t>
  </si>
  <si>
    <t>3.13</t>
  </si>
  <si>
    <t>Страхование объектов</t>
  </si>
  <si>
    <t>Остаточная стоимость имущества</t>
  </si>
  <si>
    <t>Условно постоянные расходы</t>
  </si>
  <si>
    <t>В год от остат. стоим.</t>
  </si>
  <si>
    <t>Налог по УСН (доходы)</t>
  </si>
  <si>
    <t>Терминальная стоимость (TV)</t>
  </si>
  <si>
    <t>Стоимость бизнеса по методу ДПП</t>
  </si>
  <si>
    <t>Стоимость бизнеса по методу капитализации прибыли</t>
  </si>
  <si>
    <t xml:space="preserve"> - </t>
  </si>
  <si>
    <t>Привлеченные инвестиции</t>
  </si>
  <si>
    <t>Расходы на персонал</t>
  </si>
  <si>
    <t>Расходы на аренду земельного участка</t>
  </si>
  <si>
    <t>Рекламный бюджет на 2 месяца</t>
  </si>
  <si>
    <t>Закупка продуктов для работы ресторана</t>
  </si>
  <si>
    <t>чел.</t>
  </si>
  <si>
    <t>Исходные данные для планирования объемов оказания услуг</t>
  </si>
  <si>
    <t>чел./дн.</t>
  </si>
  <si>
    <t>Удельная  себестоимость услуг</t>
  </si>
  <si>
    <t>Рекламный бюджет</t>
  </si>
  <si>
    <t>Загрузка номерного фонда</t>
  </si>
  <si>
    <t>Среднедневная выручка</t>
  </si>
  <si>
    <t>Среднедневная посещаемость</t>
  </si>
  <si>
    <t xml:space="preserve">Подразделение / Должность </t>
  </si>
  <si>
    <t>Изменение коммерческих затрат</t>
  </si>
  <si>
    <t>Изменение коммунальных затрат</t>
  </si>
  <si>
    <t>Изменение загрузки номерного фонда</t>
  </si>
  <si>
    <t>Горничная</t>
  </si>
  <si>
    <t>Покупка доли в бизнесе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</si>
  <si>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</si>
  <si>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</si>
  <si>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</si>
  <si>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</si>
  <si>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</si>
  <si>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</si>
  <si>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</si>
  <si>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</si>
  <si>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</si>
  <si>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</si>
  <si>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3</t>
  </si>
  <si>
    <t>4</t>
  </si>
  <si>
    <t>4.1</t>
  </si>
  <si>
    <t>4.2</t>
  </si>
  <si>
    <t>5.1</t>
  </si>
  <si>
    <t>5.2</t>
  </si>
  <si>
    <t>5.3</t>
  </si>
  <si>
    <t>5.4</t>
  </si>
  <si>
    <t>Инициатор проекта</t>
  </si>
  <si>
    <t>Инвестор</t>
  </si>
  <si>
    <t>ЭФФЕКТИВНОСТЬ ПРОЕКТА ДЛЯ ИНВЕСТОРА</t>
  </si>
  <si>
    <t>Доход инвестора</t>
  </si>
  <si>
    <t>Денежный поток</t>
  </si>
  <si>
    <t>Накопленный денежный поток</t>
  </si>
  <si>
    <t>Доходность инвестиций на конец периода</t>
  </si>
  <si>
    <t>Среднегодовая доходность на вложения</t>
  </si>
  <si>
    <t>Срок окупаемости вложений</t>
  </si>
  <si>
    <t>Условия привлечения финансирования</t>
  </si>
  <si>
    <t>Параметр</t>
  </si>
  <si>
    <t>Доля инвестора в бизнесе</t>
  </si>
  <si>
    <t>Доля инвестора в прибыли до возврата инвестиций</t>
  </si>
  <si>
    <t>Стоимость покупки доли в бизнесе</t>
  </si>
  <si>
    <t>Сумма инвестиционного займа</t>
  </si>
  <si>
    <t>Ставка по инвестиционному займу</t>
  </si>
  <si>
    <t>Срок возврата инвестиционного займа</t>
  </si>
  <si>
    <t>Отсрочка по уплате основного долга</t>
  </si>
  <si>
    <t>Отсрочка по уплате процентов</t>
  </si>
  <si>
    <t>Условия коллективных инвестиций в проект</t>
  </si>
  <si>
    <t>Стоимость покупки мобильного дома</t>
  </si>
  <si>
    <t>Доходность мобильного дома</t>
  </si>
  <si>
    <t>Условия выплаты дивидендов по годам</t>
  </si>
  <si>
    <t>% от выручки</t>
  </si>
  <si>
    <t>РАСЧЕТЫ ПО ЗАЙМАМ</t>
  </si>
  <si>
    <t>Поступление займа</t>
  </si>
  <si>
    <t>Проценты</t>
  </si>
  <si>
    <t>Привлечение займа</t>
  </si>
  <si>
    <t>Общая сумма инвестиций в проект</t>
  </si>
  <si>
    <t>Дивиденды</t>
  </si>
  <si>
    <t>Возврат займа</t>
  </si>
  <si>
    <t>Справочная строка: для расчета дивидендов</t>
  </si>
  <si>
    <t>Показатели эффективности проекта для инвестора</t>
  </si>
  <si>
    <t>Инвестиционные займы (предоставленные инвестором)</t>
  </si>
  <si>
    <t>Ранее полученные кредиты и займы по проекту</t>
  </si>
  <si>
    <t>1 часть кредита</t>
  </si>
  <si>
    <t>2 часть кредита</t>
  </si>
  <si>
    <t>Обслуживание займа инвестора</t>
  </si>
  <si>
    <t>Обслуживание займа нвестора</t>
  </si>
  <si>
    <t>Обслуживание прочих кредитов и займов</t>
  </si>
  <si>
    <t>Расчет амортизационных отчислений</t>
  </si>
  <si>
    <t>Годовая посещаемость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</si>
</sst>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.00\ &quot;₽&quot;;[Red]\-#,##0.00\ &quot;₽&quot;"/>
    <numFmt numFmtId="165" formatCode="_-* #,##0.00\ &quot;₽&quot;_-;\-* #,##0.00\ &quot;₽&quot;_-;_-* &quot;-&quot;??\ &quot;₽&quot;_-;_-@_-"/>
    <numFmt numFmtId="166" formatCode="0.0%"/>
    <numFmt numFmtId="167" formatCode="mmmm\ yy"/>
    <numFmt numFmtId="168" formatCode="#,##0.0"/>
    <numFmt numFmtId="169" formatCode="0.0"/>
    <numFmt numFmtId="170" formatCode="#,##0.000"/>
    <numFmt numFmtId="171" formatCode="#,##0.00\ &quot;₽&quot;"/>
    <numFmt numFmtId="172" formatCode="#,##0_ ;\-#,##0\ "/>
    <numFmt numFmtId="173" formatCode="[$-419]mmmm;@"/>
    <numFmt numFmtId="174" formatCode="0.000"/>
  </numFmts>
  <fonts count="37" x14ac:knownFonts="1"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color indexed="8"/>
      <name val="Arial"/>
      <family val="2"/>
      <charset val="204"/>
    </font>
    <font>
      <sz val="8"/>
      <name val="Arial Cyr"/>
      <family val="2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Times New Roman"/>
      <family val="1"/>
      <charset val="204"/>
    </font>
    <font>
      <sz val="8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2"/>
      <color theme="5" tint="-0.249977111117893"/>
      <name val="Times New Roman"/>
      <family val="1"/>
      <charset val="204"/>
    </font>
    <font>
      <b/>
      <sz val="12"/>
      <color rgb="FF00B0F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i/>
      <sz val="10"/>
      <color theme="0" tint="-0.14999847407452621"/>
      <name val="Times New Roman"/>
      <family val="1"/>
      <charset val="204"/>
    </font>
    <font>
      <sz val="10"/>
      <color rgb="FF0C0E31"/>
      <name val="Times New Roman"/>
      <family val="1"/>
      <charset val="204"/>
    </font>
    <font>
      <b/>
      <sz val="10"/>
      <color rgb="FFFFFFFF"/>
      <name val="Times New Roman"/>
      <family val="1"/>
      <charset val="204"/>
    </font>
    <font>
      <b/>
      <i/>
      <sz val="10"/>
      <color theme="3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rgb="FF009900"/>
      <name val="Times New Roman"/>
      <family val="1"/>
      <charset val="204"/>
    </font>
    <font>
      <b/>
      <i/>
      <sz val="10"/>
      <color theme="7" tint="-0.499984740745262"/>
      <name val="Times New Roman"/>
      <family val="1"/>
      <charset val="204"/>
    </font>
    <font>
      <b/>
      <i/>
      <sz val="10"/>
      <color theme="6" tint="-0.499984740745262"/>
      <name val="Times New Roman"/>
      <family val="1"/>
      <charset val="204"/>
    </font>
    <font>
      <i/>
      <sz val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 style="thin">
        <color theme="8"/>
      </left>
      <right/>
      <top/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 style="thin">
        <color theme="6"/>
      </left>
      <right style="thin">
        <color theme="8"/>
      </right>
      <top style="thin">
        <color theme="8"/>
      </top>
      <bottom/>
      <diagonal/>
    </border>
    <border>
      <left style="thin">
        <color theme="6"/>
      </left>
      <right style="thin">
        <color theme="8"/>
      </right>
      <top/>
      <bottom style="thin">
        <color theme="8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 style="thin">
        <color theme="6"/>
      </right>
      <top/>
      <bottom/>
      <diagonal/>
    </border>
    <border>
      <left/>
      <right style="thin">
        <color theme="6"/>
      </right>
      <top/>
      <bottom style="thin">
        <color theme="6"/>
      </bottom>
      <diagonal/>
    </border>
  </borders>
  <cellStyleXfs count="15">
    <xf numFmtId="0" fontId="0" fillId="0" borderId="0"/>
    <xf numFmtId="0" fontId="9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10" fillId="0" borderId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532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11" fillId="0" borderId="0" xfId="0" applyFont="1"/>
    <xf numFmtId="0" fontId="0" fillId="0" borderId="0" xfId="0" applyFont="1" applyBorder="1"/>
    <xf numFmtId="9" fontId="1" fillId="0" borderId="0" xfId="9" applyFont="1" applyBorder="1" applyAlignment="1">
      <alignment horizontal="center"/>
    </xf>
    <xf numFmtId="0" fontId="11" fillId="0" borderId="0" xfId="0" applyFont="1" applyFill="1" applyBorder="1"/>
    <xf numFmtId="4" fontId="0" fillId="0" borderId="0" xfId="0" applyNumberFormat="1" applyFont="1" applyBorder="1"/>
    <xf numFmtId="2" fontId="0" fillId="0" borderId="0" xfId="0" applyNumberFormat="1" applyFont="1" applyBorder="1" applyAlignment="1">
      <alignment horizontal="center"/>
    </xf>
    <xf numFmtId="9" fontId="7" fillId="0" borderId="0" xfId="9" applyFont="1"/>
    <xf numFmtId="2" fontId="0" fillId="0" borderId="0" xfId="0" applyNumberFormat="1" applyFont="1" applyFill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Font="1" applyFill="1"/>
    <xf numFmtId="0" fontId="12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 wrapText="1"/>
    </xf>
    <xf numFmtId="0" fontId="11" fillId="0" borderId="0" xfId="0" applyFont="1" applyFill="1"/>
    <xf numFmtId="0" fontId="0" fillId="0" borderId="0" xfId="0" applyFont="1" applyFill="1" applyAlignment="1">
      <alignment horizontal="center" wrapText="1"/>
    </xf>
    <xf numFmtId="0" fontId="0" fillId="0" borderId="0" xfId="0" applyFont="1" applyFill="1" applyBorder="1"/>
    <xf numFmtId="0" fontId="2" fillId="0" borderId="0" xfId="0" applyFont="1" applyFill="1" applyAlignment="1">
      <alignment vertical="center"/>
    </xf>
    <xf numFmtId="3" fontId="0" fillId="0" borderId="0" xfId="0" applyNumberFormat="1" applyFont="1" applyFill="1"/>
    <xf numFmtId="2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11" fillId="0" borderId="1" xfId="0" applyFont="1" applyFill="1" applyBorder="1"/>
    <xf numFmtId="0" fontId="0" fillId="0" borderId="0" xfId="0" applyFont="1" applyFill="1" applyBorder="1" applyAlignment="1"/>
    <xf numFmtId="2" fontId="0" fillId="0" borderId="0" xfId="0" applyNumberFormat="1" applyFont="1" applyFill="1" applyBorder="1" applyAlignment="1"/>
    <xf numFmtId="9" fontId="7" fillId="0" borderId="0" xfId="9" applyFont="1" applyFill="1" applyBorder="1" applyAlignment="1"/>
    <xf numFmtId="169" fontId="0" fillId="0" borderId="0" xfId="0" applyNumberFormat="1" applyFont="1" applyFill="1" applyBorder="1" applyAlignment="1"/>
    <xf numFmtId="0" fontId="13" fillId="0" borderId="0" xfId="0" applyFont="1" applyFill="1"/>
    <xf numFmtId="1" fontId="0" fillId="0" borderId="0" xfId="0" applyNumberFormat="1" applyFont="1" applyFill="1"/>
    <xf numFmtId="0" fontId="1" fillId="0" borderId="0" xfId="0" applyFont="1" applyFill="1"/>
    <xf numFmtId="3" fontId="0" fillId="0" borderId="0" xfId="0" applyNumberFormat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wrapText="1"/>
    </xf>
    <xf numFmtId="4" fontId="11" fillId="0" borderId="0" xfId="0" applyNumberFormat="1" applyFont="1" applyFill="1"/>
    <xf numFmtId="3" fontId="11" fillId="0" borderId="0" xfId="0" applyNumberFormat="1" applyFont="1" applyFill="1"/>
    <xf numFmtId="3" fontId="0" fillId="0" borderId="0" xfId="0" applyNumberFormat="1" applyFill="1"/>
    <xf numFmtId="0" fontId="0" fillId="0" borderId="0" xfId="0" applyFill="1" applyAlignment="1">
      <alignment horizontal="left" vertical="center" indent="4"/>
    </xf>
    <xf numFmtId="3" fontId="0" fillId="0" borderId="0" xfId="0" applyNumberFormat="1" applyFont="1" applyFill="1" applyBorder="1" applyAlignment="1">
      <alignment horizontal="center"/>
    </xf>
    <xf numFmtId="3" fontId="0" fillId="0" borderId="0" xfId="0" applyNumberFormat="1" applyFont="1" applyFill="1" applyBorder="1"/>
    <xf numFmtId="9" fontId="7" fillId="0" borderId="0" xfId="9" applyFont="1" applyFill="1" applyBorder="1" applyAlignment="1">
      <alignment horizontal="center"/>
    </xf>
    <xf numFmtId="1" fontId="7" fillId="0" borderId="0" xfId="9" applyNumberFormat="1" applyFont="1" applyFill="1" applyBorder="1" applyAlignment="1">
      <alignment horizontal="center"/>
    </xf>
    <xf numFmtId="0" fontId="11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vertical="center"/>
    </xf>
    <xf numFmtId="1" fontId="0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3" fontId="16" fillId="0" borderId="0" xfId="0" applyNumberFormat="1" applyFont="1" applyFill="1" applyBorder="1" applyAlignment="1">
      <alignment horizontal="center" wrapText="1"/>
    </xf>
    <xf numFmtId="3" fontId="0" fillId="0" borderId="0" xfId="0" applyNumberFormat="1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1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right"/>
    </xf>
    <xf numFmtId="166" fontId="1" fillId="0" borderId="0" xfId="9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/>
    </xf>
    <xf numFmtId="9" fontId="7" fillId="0" borderId="0" xfId="9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3" fontId="0" fillId="0" borderId="0" xfId="0" applyNumberFormat="1" applyFill="1" applyBorder="1" applyAlignment="1">
      <alignment horizontal="center" vertical="center"/>
    </xf>
    <xf numFmtId="168" fontId="0" fillId="0" borderId="0" xfId="0" applyNumberFormat="1" applyFont="1" applyFill="1" applyBorder="1" applyAlignment="1">
      <alignment horizontal="center"/>
    </xf>
    <xf numFmtId="3" fontId="7" fillId="0" borderId="0" xfId="9" applyNumberFormat="1" applyFont="1" applyFill="1" applyBorder="1" applyAlignment="1">
      <alignment horizontal="center" vertical="center"/>
    </xf>
    <xf numFmtId="0" fontId="0" fillId="0" borderId="0" xfId="0" applyFont="1"/>
    <xf numFmtId="0" fontId="1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3" fontId="0" fillId="0" borderId="0" xfId="0" applyNumberFormat="1"/>
    <xf numFmtId="3" fontId="0" fillId="0" borderId="0" xfId="0" applyNumberFormat="1" applyFont="1" applyFill="1" applyAlignment="1">
      <alignment horizontal="center" wrapText="1"/>
    </xf>
    <xf numFmtId="4" fontId="13" fillId="0" borderId="0" xfId="0" applyNumberFormat="1" applyFont="1" applyFill="1" applyBorder="1" applyAlignment="1"/>
    <xf numFmtId="0" fontId="0" fillId="0" borderId="2" xfId="0" applyFont="1" applyFill="1" applyBorder="1"/>
    <xf numFmtId="0" fontId="0" fillId="0" borderId="2" xfId="0" applyBorder="1"/>
    <xf numFmtId="0" fontId="0" fillId="0" borderId="2" xfId="0" applyFont="1" applyBorder="1"/>
    <xf numFmtId="0" fontId="0" fillId="0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170" fontId="21" fillId="0" borderId="0" xfId="0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166" fontId="2" fillId="0" borderId="0" xfId="9" applyNumberFormat="1" applyFont="1" applyFill="1" applyBorder="1" applyAlignment="1">
      <alignment horizontal="center" vertical="center"/>
    </xf>
    <xf numFmtId="166" fontId="17" fillId="0" borderId="0" xfId="9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justify" vertical="top" wrapText="1"/>
    </xf>
    <xf numFmtId="0" fontId="0" fillId="0" borderId="0" xfId="0" applyFont="1" applyFill="1" applyAlignment="1">
      <alignment horizontal="left" indent="2"/>
    </xf>
    <xf numFmtId="0" fontId="14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9" fillId="0" borderId="3" xfId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4" fillId="2" borderId="3" xfId="0" applyFont="1" applyFill="1" applyBorder="1" applyAlignment="1">
      <alignment horizontal="center" vertical="center"/>
    </xf>
    <xf numFmtId="0" fontId="0" fillId="0" borderId="3" xfId="0" applyFont="1" applyFill="1" applyBorder="1"/>
    <xf numFmtId="3" fontId="7" fillId="0" borderId="3" xfId="9" applyNumberFormat="1" applyFont="1" applyFill="1" applyBorder="1" applyAlignment="1">
      <alignment horizontal="center" vertical="center"/>
    </xf>
    <xf numFmtId="3" fontId="7" fillId="0" borderId="3" xfId="9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3" fontId="7" fillId="0" borderId="3" xfId="9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center" vertical="center"/>
    </xf>
    <xf numFmtId="166" fontId="1" fillId="0" borderId="3" xfId="9" applyNumberFormat="1" applyFont="1" applyFill="1" applyBorder="1" applyAlignment="1">
      <alignment horizontal="center" vertical="center"/>
    </xf>
    <xf numFmtId="0" fontId="0" fillId="3" borderId="3" xfId="0" applyFont="1" applyFill="1" applyBorder="1"/>
    <xf numFmtId="166" fontId="7" fillId="3" borderId="3" xfId="9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right"/>
    </xf>
    <xf numFmtId="2" fontId="0" fillId="0" borderId="3" xfId="0" applyNumberFormat="1" applyFont="1" applyFill="1" applyBorder="1" applyAlignment="1">
      <alignment horizontal="left"/>
    </xf>
    <xf numFmtId="10" fontId="7" fillId="0" borderId="3" xfId="9" applyNumberFormat="1" applyFont="1" applyFill="1" applyBorder="1" applyAlignment="1">
      <alignment horizontal="center" vertical="center"/>
    </xf>
    <xf numFmtId="2" fontId="0" fillId="0" borderId="3" xfId="0" applyNumberFormat="1" applyFont="1" applyFill="1" applyBorder="1"/>
    <xf numFmtId="166" fontId="7" fillId="0" borderId="3" xfId="9" applyNumberFormat="1" applyFont="1" applyFill="1" applyBorder="1" applyAlignment="1">
      <alignment horizontal="center" vertical="center"/>
    </xf>
    <xf numFmtId="9" fontId="7" fillId="0" borderId="3" xfId="9" applyFont="1" applyFill="1" applyBorder="1" applyAlignment="1">
      <alignment horizontal="center" vertical="center"/>
    </xf>
    <xf numFmtId="0" fontId="2" fillId="0" borderId="3" xfId="0" applyFont="1" applyFill="1" applyBorder="1"/>
    <xf numFmtId="166" fontId="2" fillId="0" borderId="3" xfId="9" applyNumberFormat="1" applyFont="1" applyFill="1" applyBorder="1" applyAlignment="1">
      <alignment horizontal="center" vertical="center"/>
    </xf>
    <xf numFmtId="166" fontId="17" fillId="0" borderId="3" xfId="9" applyNumberFormat="1" applyFont="1" applyFill="1" applyBorder="1" applyAlignment="1">
      <alignment horizontal="center" vertical="center"/>
    </xf>
    <xf numFmtId="9" fontId="7" fillId="0" borderId="3" xfId="9" applyFont="1" applyFill="1" applyBorder="1" applyAlignment="1">
      <alignment horizontal="center"/>
    </xf>
    <xf numFmtId="0" fontId="2" fillId="3" borderId="3" xfId="0" applyFont="1" applyFill="1" applyBorder="1" applyAlignment="1">
      <alignment horizontal="left" vertical="center"/>
    </xf>
    <xf numFmtId="3" fontId="2" fillId="3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vertical="top" wrapText="1"/>
    </xf>
    <xf numFmtId="9" fontId="11" fillId="3" borderId="3" xfId="9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right" vertical="center" wrapText="1"/>
    </xf>
    <xf numFmtId="9" fontId="2" fillId="3" borderId="3" xfId="9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 wrapText="1"/>
    </xf>
    <xf numFmtId="3" fontId="11" fillId="3" borderId="3" xfId="0" applyNumberFormat="1" applyFont="1" applyFill="1" applyBorder="1" applyAlignment="1">
      <alignment horizontal="center" vertical="center" wrapText="1"/>
    </xf>
    <xf numFmtId="3" fontId="0" fillId="0" borderId="3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left" vertical="center"/>
    </xf>
    <xf numFmtId="168" fontId="11" fillId="3" borderId="3" xfId="0" applyNumberFormat="1" applyFont="1" applyFill="1" applyBorder="1" applyAlignment="1">
      <alignment horizontal="center" vertical="center" wrapText="1"/>
    </xf>
    <xf numFmtId="3" fontId="11" fillId="3" borderId="3" xfId="0" applyNumberFormat="1" applyFont="1" applyFill="1" applyBorder="1" applyAlignment="1">
      <alignment horizontal="center" vertical="center"/>
    </xf>
    <xf numFmtId="3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1" fillId="3" borderId="3" xfId="0" applyFont="1" applyFill="1" applyBorder="1"/>
    <xf numFmtId="3" fontId="11" fillId="3" borderId="3" xfId="0" applyNumberFormat="1" applyFont="1" applyFill="1" applyBorder="1" applyAlignment="1">
      <alignment horizontal="center"/>
    </xf>
    <xf numFmtId="3" fontId="0" fillId="0" borderId="3" xfId="0" applyNumberFormat="1" applyFont="1" applyFill="1" applyBorder="1" applyAlignment="1">
      <alignment horizontal="center"/>
    </xf>
    <xf numFmtId="168" fontId="0" fillId="0" borderId="3" xfId="0" applyNumberFormat="1" applyFont="1" applyFill="1" applyBorder="1" applyAlignment="1">
      <alignment horizontal="center"/>
    </xf>
    <xf numFmtId="0" fontId="0" fillId="0" borderId="3" xfId="0" applyFont="1" applyBorder="1"/>
    <xf numFmtId="0" fontId="0" fillId="0" borderId="3" xfId="0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3" fontId="2" fillId="3" borderId="3" xfId="0" applyNumberFormat="1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4" fillId="2" borderId="3" xfId="0" applyFont="1" applyFill="1" applyBorder="1"/>
    <xf numFmtId="0" fontId="0" fillId="0" borderId="3" xfId="0" applyFont="1" applyFill="1" applyBorder="1" applyAlignment="1">
      <alignment horizontal="justify" vertical="top" wrapText="1"/>
    </xf>
    <xf numFmtId="0" fontId="2" fillId="3" borderId="3" xfId="0" applyFont="1" applyFill="1" applyBorder="1" applyAlignment="1">
      <alignment horizontal="left" vertical="center" wrapText="1"/>
    </xf>
    <xf numFmtId="1" fontId="2" fillId="3" borderId="3" xfId="0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justify" vertical="top" wrapText="1"/>
    </xf>
    <xf numFmtId="3" fontId="11" fillId="3" borderId="3" xfId="9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justify" vertical="top" wrapText="1"/>
    </xf>
    <xf numFmtId="3" fontId="1" fillId="0" borderId="3" xfId="9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1" fontId="0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/>
    </xf>
    <xf numFmtId="3" fontId="1" fillId="0" borderId="3" xfId="2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2" fillId="3" borderId="3" xfId="2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wrapText="1"/>
    </xf>
    <xf numFmtId="3" fontId="2" fillId="3" borderId="3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3" fontId="11" fillId="3" borderId="3" xfId="9" applyNumberFormat="1" applyFont="1" applyFill="1" applyBorder="1" applyAlignment="1">
      <alignment horizontal="center" vertical="center"/>
    </xf>
    <xf numFmtId="9" fontId="11" fillId="3" borderId="3" xfId="9" applyFont="1" applyFill="1" applyBorder="1" applyAlignment="1">
      <alignment horizontal="center" vertical="center"/>
    </xf>
    <xf numFmtId="9" fontId="7" fillId="0" borderId="3" xfId="9" applyFont="1" applyFill="1" applyBorder="1" applyAlignment="1">
      <alignment horizontal="center" vertical="center"/>
    </xf>
    <xf numFmtId="167" fontId="14" fillId="2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9" fontId="11" fillId="0" borderId="3" xfId="9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left" vertical="center" wrapText="1"/>
    </xf>
    <xf numFmtId="3" fontId="7" fillId="0" borderId="3" xfId="9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2" fontId="21" fillId="2" borderId="3" xfId="0" applyNumberFormat="1" applyFont="1" applyFill="1" applyBorder="1"/>
    <xf numFmtId="2" fontId="2" fillId="3" borderId="3" xfId="0" applyNumberFormat="1" applyFont="1" applyFill="1" applyBorder="1"/>
    <xf numFmtId="2" fontId="1" fillId="0" borderId="3" xfId="0" applyNumberFormat="1" applyFont="1" applyFill="1" applyBorder="1"/>
    <xf numFmtId="1" fontId="1" fillId="0" borderId="3" xfId="0" applyNumberFormat="1" applyFont="1" applyFill="1" applyBorder="1" applyAlignment="1">
      <alignment horizontal="center"/>
    </xf>
    <xf numFmtId="0" fontId="14" fillId="2" borderId="3" xfId="0" applyFont="1" applyFill="1" applyBorder="1" applyAlignment="1" applyProtection="1">
      <alignment horizontal="center" vertical="center"/>
      <protection locked="0"/>
    </xf>
    <xf numFmtId="3" fontId="2" fillId="3" borderId="3" xfId="0" applyNumberFormat="1" applyFont="1" applyFill="1" applyBorder="1" applyProtection="1">
      <protection locked="0"/>
    </xf>
    <xf numFmtId="3" fontId="2" fillId="3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Protection="1"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left" indent="2"/>
      <protection locked="0"/>
    </xf>
    <xf numFmtId="3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3" xfId="0" applyNumberFormat="1" applyFont="1" applyFill="1" applyBorder="1" applyAlignment="1" applyProtection="1">
      <alignment horizontal="left"/>
      <protection locked="0"/>
    </xf>
    <xf numFmtId="3" fontId="2" fillId="3" borderId="3" xfId="0" applyNumberFormat="1" applyFont="1" applyFill="1" applyBorder="1" applyAlignment="1" applyProtection="1">
      <alignment horizontal="left"/>
      <protection locked="0"/>
    </xf>
    <xf numFmtId="3" fontId="2" fillId="3" borderId="3" xfId="0" applyNumberFormat="1" applyFont="1" applyFill="1" applyBorder="1" applyAlignment="1" applyProtection="1">
      <alignment horizontal="center" vertical="center" wrapText="1"/>
    </xf>
    <xf numFmtId="1" fontId="14" fillId="2" borderId="3" xfId="0" applyNumberFormat="1" applyFont="1" applyFill="1" applyBorder="1" applyAlignment="1">
      <alignment horizontal="center" vertical="center"/>
    </xf>
    <xf numFmtId="3" fontId="0" fillId="0" borderId="3" xfId="0" applyNumberFormat="1" applyFont="1" applyFill="1" applyBorder="1" applyAlignment="1">
      <alignment horizontal="center" wrapText="1"/>
    </xf>
    <xf numFmtId="0" fontId="11" fillId="3" borderId="3" xfId="0" applyFont="1" applyFill="1" applyBorder="1" applyAlignment="1">
      <alignment wrapText="1"/>
    </xf>
    <xf numFmtId="3" fontId="11" fillId="3" borderId="3" xfId="0" applyNumberFormat="1" applyFont="1" applyFill="1" applyBorder="1" applyAlignment="1">
      <alignment horizontal="center" wrapText="1"/>
    </xf>
    <xf numFmtId="2" fontId="0" fillId="0" borderId="3" xfId="0" applyNumberFormat="1" applyFont="1" applyFill="1" applyBorder="1" applyAlignment="1">
      <alignment horizontal="center"/>
    </xf>
    <xf numFmtId="168" fontId="1" fillId="0" borderId="3" xfId="0" applyNumberFormat="1" applyFont="1" applyFill="1" applyBorder="1" applyAlignment="1">
      <alignment horizontal="center"/>
    </xf>
    <xf numFmtId="4" fontId="1" fillId="0" borderId="3" xfId="0" applyNumberFormat="1" applyFont="1" applyFill="1" applyBorder="1" applyAlignment="1">
      <alignment horizontal="center"/>
    </xf>
    <xf numFmtId="166" fontId="7" fillId="0" borderId="3" xfId="9" applyNumberFormat="1" applyFont="1" applyFill="1" applyBorder="1" applyAlignment="1">
      <alignment horizontal="center"/>
    </xf>
    <xf numFmtId="4" fontId="0" fillId="0" borderId="3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  <xf numFmtId="169" fontId="0" fillId="0" borderId="3" xfId="0" applyNumberFormat="1" applyFont="1" applyFill="1" applyBorder="1" applyAlignment="1">
      <alignment horizontal="center"/>
    </xf>
    <xf numFmtId="168" fontId="14" fillId="2" borderId="3" xfId="0" applyNumberFormat="1" applyFont="1" applyFill="1" applyBorder="1" applyAlignment="1">
      <alignment horizontal="center" vertical="center" wrapText="1"/>
    </xf>
    <xf numFmtId="169" fontId="14" fillId="2" borderId="3" xfId="0" applyNumberFormat="1" applyFont="1" applyFill="1" applyBorder="1" applyAlignment="1">
      <alignment horizontal="center" vertical="center" wrapText="1"/>
    </xf>
    <xf numFmtId="2" fontId="14" fillId="2" borderId="3" xfId="0" applyNumberFormat="1" applyFont="1" applyFill="1" applyBorder="1" applyAlignment="1">
      <alignment horizontal="center" vertical="center" wrapText="1"/>
    </xf>
    <xf numFmtId="169" fontId="14" fillId="2" borderId="3" xfId="0" applyNumberFormat="1" applyFont="1" applyFill="1" applyBorder="1" applyAlignment="1">
      <alignment horizontal="center" vertical="center"/>
    </xf>
    <xf numFmtId="168" fontId="0" fillId="0" borderId="3" xfId="0" applyNumberFormat="1" applyFont="1" applyBorder="1" applyAlignment="1">
      <alignment horizontal="center" vertical="center" wrapText="1"/>
    </xf>
    <xf numFmtId="169" fontId="0" fillId="0" borderId="3" xfId="0" applyNumberFormat="1" applyFont="1" applyBorder="1" applyAlignment="1">
      <alignment horizontal="center" vertical="center" wrapText="1"/>
    </xf>
    <xf numFmtId="166" fontId="7" fillId="0" borderId="3" xfId="9" applyNumberFormat="1" applyFont="1" applyBorder="1" applyAlignment="1">
      <alignment horizontal="center" vertical="center" wrapText="1"/>
    </xf>
    <xf numFmtId="9" fontId="14" fillId="2" borderId="3" xfId="9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169" fontId="0" fillId="0" borderId="3" xfId="0" applyNumberFormat="1" applyFont="1" applyFill="1" applyBorder="1" applyAlignment="1">
      <alignment horizontal="center" vertical="center"/>
    </xf>
    <xf numFmtId="9" fontId="7" fillId="0" borderId="0" xfId="9" applyFont="1"/>
    <xf numFmtId="9" fontId="7" fillId="0" borderId="0" xfId="9" applyFont="1" applyAlignment="1">
      <alignment horizontal="center"/>
    </xf>
    <xf numFmtId="166" fontId="1" fillId="0" borderId="3" xfId="9" applyNumberFormat="1" applyFont="1" applyFill="1" applyBorder="1" applyAlignment="1">
      <alignment horizontal="center"/>
    </xf>
    <xf numFmtId="166" fontId="7" fillId="0" borderId="0" xfId="9" applyNumberFormat="1" applyFont="1"/>
    <xf numFmtId="166" fontId="0" fillId="0" borderId="3" xfId="0" applyNumberFormat="1" applyFont="1" applyBorder="1" applyAlignment="1">
      <alignment horizontal="center"/>
    </xf>
    <xf numFmtId="9" fontId="11" fillId="0" borderId="0" xfId="0" applyNumberFormat="1" applyFont="1" applyFill="1" applyBorder="1"/>
    <xf numFmtId="169" fontId="0" fillId="0" borderId="0" xfId="0" applyNumberFormat="1" applyFont="1" applyFill="1" applyBorder="1" applyAlignment="1">
      <alignment horizontal="center"/>
    </xf>
    <xf numFmtId="0" fontId="16" fillId="0" borderId="5" xfId="0" applyFont="1" applyBorder="1" applyAlignment="1">
      <alignment horizontal="left" vertical="center"/>
    </xf>
    <xf numFmtId="3" fontId="23" fillId="6" borderId="5" xfId="0" applyNumberFormat="1" applyFont="1" applyFill="1" applyBorder="1" applyAlignment="1">
      <alignment horizontal="center" vertical="center"/>
    </xf>
    <xf numFmtId="3" fontId="16" fillId="6" borderId="5" xfId="0" applyNumberFormat="1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7" borderId="6" xfId="0" applyFont="1" applyFill="1" applyBorder="1" applyAlignment="1">
      <alignment vertical="center"/>
    </xf>
    <xf numFmtId="0" fontId="11" fillId="0" borderId="6" xfId="0" applyFont="1" applyBorder="1" applyAlignment="1">
      <alignment horizontal="left" vertical="center"/>
    </xf>
    <xf numFmtId="3" fontId="0" fillId="0" borderId="6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9" fontId="0" fillId="0" borderId="6" xfId="0" applyNumberFormat="1" applyFont="1" applyBorder="1" applyAlignment="1">
      <alignment horizontal="center" vertical="center"/>
    </xf>
    <xf numFmtId="0" fontId="24" fillId="7" borderId="6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right" vertical="center"/>
    </xf>
    <xf numFmtId="0" fontId="11" fillId="3" borderId="6" xfId="0" applyFont="1" applyFill="1" applyBorder="1" applyAlignment="1">
      <alignment horizontal="left" vertical="center"/>
    </xf>
    <xf numFmtId="3" fontId="0" fillId="3" borderId="6" xfId="0" applyNumberFormat="1" applyFont="1" applyFill="1" applyBorder="1" applyAlignment="1">
      <alignment horizontal="center" vertical="center"/>
    </xf>
    <xf numFmtId="0" fontId="0" fillId="0" borderId="3" xfId="0" applyBorder="1"/>
    <xf numFmtId="168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left"/>
    </xf>
    <xf numFmtId="9" fontId="7" fillId="0" borderId="0" xfId="9" applyFont="1" applyFill="1" applyAlignment="1">
      <alignment horizontal="center" wrapText="1"/>
    </xf>
    <xf numFmtId="9" fontId="7" fillId="0" borderId="0" xfId="9" applyFont="1" applyFill="1" applyAlignment="1">
      <alignment horizontal="center"/>
    </xf>
    <xf numFmtId="3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66" fontId="1" fillId="0" borderId="3" xfId="9" applyNumberFormat="1" applyFont="1" applyBorder="1" applyAlignment="1">
      <alignment horizontal="center"/>
    </xf>
    <xf numFmtId="3" fontId="14" fillId="2" borderId="3" xfId="0" applyNumberFormat="1" applyFont="1" applyFill="1" applyBorder="1" applyAlignment="1">
      <alignment horizontal="center" vertical="center" wrapText="1"/>
    </xf>
    <xf numFmtId="3" fontId="0" fillId="0" borderId="3" xfId="0" applyNumberFormat="1" applyFill="1" applyBorder="1" applyAlignment="1">
      <alignment horizontal="center"/>
    </xf>
    <xf numFmtId="9" fontId="0" fillId="0" borderId="0" xfId="9" applyFont="1" applyFill="1" applyBorder="1" applyAlignment="1">
      <alignment horizontal="center"/>
    </xf>
    <xf numFmtId="0" fontId="1" fillId="0" borderId="0" xfId="0" applyFont="1"/>
    <xf numFmtId="3" fontId="7" fillId="0" borderId="3" xfId="9" applyNumberFormat="1" applyFont="1" applyFill="1" applyBorder="1" applyAlignment="1">
      <alignment horizontal="center"/>
    </xf>
    <xf numFmtId="9" fontId="0" fillId="0" borderId="3" xfId="9" applyFont="1" applyFill="1" applyBorder="1" applyAlignment="1">
      <alignment horizontal="center"/>
    </xf>
    <xf numFmtId="3" fontId="0" fillId="0" borderId="3" xfId="0" applyNumberFormat="1" applyFill="1" applyBorder="1" applyAlignment="1">
      <alignment horizontal="center" vertical="center" wrapText="1"/>
    </xf>
    <xf numFmtId="1" fontId="7" fillId="0" borderId="3" xfId="9" applyNumberFormat="1" applyFont="1" applyFill="1" applyBorder="1" applyAlignment="1">
      <alignment horizontal="center"/>
    </xf>
    <xf numFmtId="0" fontId="21" fillId="0" borderId="0" xfId="0" applyFont="1"/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1" fontId="2" fillId="0" borderId="0" xfId="0" applyNumberFormat="1" applyFont="1" applyFill="1" applyBorder="1" applyAlignment="1">
      <alignment horizontal="center" vertical="center" wrapText="1"/>
    </xf>
    <xf numFmtId="1" fontId="1" fillId="0" borderId="0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/>
    <xf numFmtId="0" fontId="14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wrapText="1"/>
    </xf>
    <xf numFmtId="168" fontId="1" fillId="0" borderId="3" xfId="0" applyNumberFormat="1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center"/>
    </xf>
    <xf numFmtId="3" fontId="0" fillId="0" borderId="3" xfId="0" applyNumberFormat="1" applyFill="1" applyBorder="1" applyAlignment="1">
      <alignment horizontal="right" vertical="center" wrapText="1"/>
    </xf>
    <xf numFmtId="3" fontId="0" fillId="5" borderId="3" xfId="0" applyNumberFormat="1" applyFill="1" applyBorder="1" applyAlignment="1">
      <alignment horizontal="left" vertical="center" wrapText="1"/>
    </xf>
    <xf numFmtId="3" fontId="0" fillId="5" borderId="3" xfId="0" applyNumberForma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3" fontId="11" fillId="5" borderId="3" xfId="2" applyNumberFormat="1" applyFont="1" applyFill="1" applyBorder="1" applyAlignment="1">
      <alignment horizontal="center" vertical="center"/>
    </xf>
    <xf numFmtId="166" fontId="11" fillId="0" borderId="3" xfId="9" applyNumberFormat="1" applyFont="1" applyFill="1" applyBorder="1" applyAlignment="1">
      <alignment horizontal="center" vertical="center" wrapText="1"/>
    </xf>
    <xf numFmtId="9" fontId="7" fillId="0" borderId="3" xfId="9" applyNumberFormat="1" applyFont="1" applyFill="1" applyBorder="1" applyAlignment="1">
      <alignment horizontal="center"/>
    </xf>
    <xf numFmtId="0" fontId="19" fillId="0" borderId="0" xfId="0" applyFont="1" applyFill="1" applyAlignment="1">
      <alignment horizontal="left" vertical="center" indent="22"/>
    </xf>
    <xf numFmtId="0" fontId="20" fillId="0" borderId="0" xfId="0" applyFont="1" applyFill="1" applyAlignment="1">
      <alignment horizontal="left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0" fillId="0" borderId="0" xfId="0" applyBorder="1"/>
    <xf numFmtId="3" fontId="0" fillId="0" borderId="3" xfId="9" applyNumberFormat="1" applyFont="1" applyFill="1" applyBorder="1" applyAlignment="1">
      <alignment horizontal="center" vertical="center"/>
    </xf>
    <xf numFmtId="168" fontId="0" fillId="0" borderId="3" xfId="9" applyNumberFormat="1" applyFont="1" applyFill="1" applyBorder="1" applyAlignment="1">
      <alignment horizontal="center" vertical="center"/>
    </xf>
    <xf numFmtId="4" fontId="0" fillId="0" borderId="3" xfId="9" applyNumberFormat="1" applyFont="1" applyFill="1" applyBorder="1" applyAlignment="1">
      <alignment horizontal="center" vertical="center"/>
    </xf>
    <xf numFmtId="166" fontId="0" fillId="0" borderId="3" xfId="9" applyNumberFormat="1" applyFont="1" applyFill="1" applyBorder="1" applyAlignment="1">
      <alignment horizontal="center" vertical="center"/>
    </xf>
    <xf numFmtId="166" fontId="2" fillId="3" borderId="3" xfId="0" applyNumberFormat="1" applyFont="1" applyFill="1" applyBorder="1" applyAlignment="1">
      <alignment horizontal="center"/>
    </xf>
    <xf numFmtId="9" fontId="2" fillId="3" borderId="3" xfId="9" applyFont="1" applyFill="1" applyBorder="1" applyAlignment="1">
      <alignment horizontal="center"/>
    </xf>
    <xf numFmtId="9" fontId="1" fillId="0" borderId="3" xfId="9" applyFont="1" applyFill="1" applyBorder="1" applyAlignment="1">
      <alignment horizontal="center"/>
    </xf>
    <xf numFmtId="169" fontId="0" fillId="0" borderId="0" xfId="9" applyNumberFormat="1" applyFont="1"/>
    <xf numFmtId="0" fontId="19" fillId="0" borderId="0" xfId="0" applyFont="1" applyFill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166" fontId="0" fillId="0" borderId="0" xfId="0" applyNumberFormat="1" applyFont="1" applyFill="1"/>
    <xf numFmtId="168" fontId="0" fillId="0" borderId="0" xfId="0" applyNumberFormat="1" applyFont="1" applyFill="1"/>
    <xf numFmtId="9" fontId="7" fillId="3" borderId="3" xfId="9" applyNumberFormat="1" applyFont="1" applyFill="1" applyBorder="1" applyAlignment="1">
      <alignment horizontal="center"/>
    </xf>
    <xf numFmtId="170" fontId="0" fillId="0" borderId="3" xfId="9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26" fillId="10" borderId="1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6" fillId="0" borderId="14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165" fontId="27" fillId="0" borderId="14" xfId="0" applyNumberFormat="1" applyFont="1" applyBorder="1" applyAlignment="1">
      <alignment horizontal="center" vertical="center"/>
    </xf>
    <xf numFmtId="3" fontId="27" fillId="0" borderId="14" xfId="0" applyNumberFormat="1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 wrapText="1"/>
    </xf>
    <xf numFmtId="164" fontId="29" fillId="0" borderId="0" xfId="0" applyNumberFormat="1" applyFont="1"/>
    <xf numFmtId="0" fontId="30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/>
    </xf>
    <xf numFmtId="165" fontId="30" fillId="0" borderId="14" xfId="0" applyNumberFormat="1" applyFont="1" applyBorder="1" applyAlignment="1">
      <alignment horizontal="center" vertical="center"/>
    </xf>
    <xf numFmtId="164" fontId="30" fillId="0" borderId="0" xfId="0" applyNumberFormat="1" applyFont="1"/>
    <xf numFmtId="0" fontId="30" fillId="0" borderId="0" xfId="0" applyFont="1"/>
    <xf numFmtId="0" fontId="30" fillId="11" borderId="14" xfId="0" applyFont="1" applyFill="1" applyBorder="1" applyAlignment="1">
      <alignment horizontal="center" vertical="center"/>
    </xf>
    <xf numFmtId="0" fontId="29" fillId="4" borderId="14" xfId="0" applyFont="1" applyFill="1" applyBorder="1" applyAlignment="1">
      <alignment horizontal="right" vertical="center"/>
    </xf>
    <xf numFmtId="165" fontId="27" fillId="4" borderId="14" xfId="0" applyNumberFormat="1" applyFont="1" applyFill="1" applyBorder="1" applyAlignment="1">
      <alignment horizontal="center" vertical="center"/>
    </xf>
    <xf numFmtId="0" fontId="30" fillId="4" borderId="14" xfId="0" applyFont="1" applyFill="1" applyBorder="1" applyAlignment="1">
      <alignment horizontal="center" vertical="center"/>
    </xf>
    <xf numFmtId="165" fontId="30" fillId="4" borderId="14" xfId="0" applyNumberFormat="1" applyFont="1" applyFill="1" applyBorder="1" applyAlignment="1">
      <alignment horizontal="center" vertical="center"/>
    </xf>
    <xf numFmtId="0" fontId="31" fillId="10" borderId="15" xfId="0" applyFont="1" applyFill="1" applyBorder="1" applyAlignment="1">
      <alignment horizontal="center" vertical="center"/>
    </xf>
    <xf numFmtId="165" fontId="32" fillId="10" borderId="15" xfId="0" applyNumberFormat="1" applyFont="1" applyFill="1" applyBorder="1" applyAlignment="1">
      <alignment vertical="center"/>
    </xf>
    <xf numFmtId="165" fontId="27" fillId="10" borderId="16" xfId="0" applyNumberFormat="1" applyFont="1" applyFill="1" applyBorder="1" applyAlignment="1">
      <alignment vertical="center"/>
    </xf>
    <xf numFmtId="165" fontId="27" fillId="10" borderId="17" xfId="0" applyNumberFormat="1" applyFont="1" applyFill="1" applyBorder="1" applyAlignment="1">
      <alignment vertical="center"/>
    </xf>
    <xf numFmtId="165" fontId="27" fillId="10" borderId="20" xfId="0" applyNumberFormat="1" applyFont="1" applyFill="1" applyBorder="1" applyAlignment="1">
      <alignment vertical="center"/>
    </xf>
    <xf numFmtId="165" fontId="27" fillId="10" borderId="21" xfId="0" applyNumberFormat="1" applyFont="1" applyFill="1" applyBorder="1" applyAlignment="1">
      <alignment vertical="center"/>
    </xf>
    <xf numFmtId="165" fontId="0" fillId="0" borderId="0" xfId="0" applyNumberFormat="1"/>
    <xf numFmtId="172" fontId="0" fillId="0" borderId="3" xfId="0" applyNumberFormat="1" applyFont="1" applyBorder="1" applyAlignment="1">
      <alignment horizontal="center"/>
    </xf>
    <xf numFmtId="3" fontId="11" fillId="12" borderId="3" xfId="0" applyNumberFormat="1" applyFont="1" applyFill="1" applyBorder="1" applyAlignment="1">
      <alignment horizontal="left" vertical="center" wrapText="1"/>
    </xf>
    <xf numFmtId="3" fontId="11" fillId="12" borderId="3" xfId="0" applyNumberFormat="1" applyFont="1" applyFill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/>
    </xf>
    <xf numFmtId="3" fontId="0" fillId="3" borderId="3" xfId="0" applyNumberFormat="1" applyFont="1" applyFill="1" applyBorder="1" applyAlignment="1">
      <alignment horizontal="left" vertical="center" wrapText="1"/>
    </xf>
    <xf numFmtId="173" fontId="14" fillId="2" borderId="10" xfId="0" applyNumberFormat="1" applyFont="1" applyFill="1" applyBorder="1" applyAlignment="1">
      <alignment horizontal="center" vertical="center" wrapText="1"/>
    </xf>
    <xf numFmtId="173" fontId="0" fillId="0" borderId="3" xfId="9" applyNumberFormat="1" applyFont="1" applyFill="1" applyBorder="1" applyAlignment="1">
      <alignment horizontal="center" vertical="center"/>
    </xf>
    <xf numFmtId="1" fontId="0" fillId="0" borderId="3" xfId="9" applyNumberFormat="1" applyFont="1" applyFill="1" applyBorder="1" applyAlignment="1">
      <alignment horizontal="center" vertical="center"/>
    </xf>
    <xf numFmtId="3" fontId="11" fillId="12" borderId="11" xfId="0" applyNumberFormat="1" applyFont="1" applyFill="1" applyBorder="1" applyAlignment="1">
      <alignment horizontal="center" vertical="center" wrapText="1"/>
    </xf>
    <xf numFmtId="173" fontId="14" fillId="2" borderId="22" xfId="0" applyNumberFormat="1" applyFont="1" applyFill="1" applyBorder="1" applyAlignment="1">
      <alignment horizontal="center" vertical="center" wrapText="1"/>
    </xf>
    <xf numFmtId="1" fontId="14" fillId="2" borderId="23" xfId="0" applyNumberFormat="1" applyFont="1" applyFill="1" applyBorder="1" applyAlignment="1">
      <alignment horizontal="center" vertical="center" wrapText="1"/>
    </xf>
    <xf numFmtId="1" fontId="14" fillId="2" borderId="24" xfId="0" applyNumberFormat="1" applyFont="1" applyFill="1" applyBorder="1" applyAlignment="1">
      <alignment horizontal="center" vertical="center" wrapText="1"/>
    </xf>
    <xf numFmtId="1" fontId="14" fillId="2" borderId="7" xfId="0" applyNumberFormat="1" applyFont="1" applyFill="1" applyBorder="1" applyAlignment="1">
      <alignment horizontal="center" vertical="center" wrapText="1"/>
    </xf>
    <xf numFmtId="1" fontId="14" fillId="2" borderId="9" xfId="0" applyNumberFormat="1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3" fontId="16" fillId="0" borderId="22" xfId="0" applyNumberFormat="1" applyFont="1" applyBorder="1" applyAlignment="1">
      <alignment horizontal="left" vertical="center" wrapText="1"/>
    </xf>
    <xf numFmtId="0" fontId="1" fillId="0" borderId="22" xfId="0" applyFont="1" applyFill="1" applyBorder="1" applyAlignment="1">
      <alignment horizontal="center" vertical="center"/>
    </xf>
    <xf numFmtId="3" fontId="0" fillId="0" borderId="22" xfId="0" applyNumberFormat="1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 wrapText="1"/>
    </xf>
    <xf numFmtId="0" fontId="0" fillId="0" borderId="22" xfId="0" applyFont="1" applyFill="1" applyBorder="1" applyAlignment="1">
      <alignment horizontal="left"/>
    </xf>
    <xf numFmtId="3" fontId="0" fillId="0" borderId="22" xfId="0" applyNumberFormat="1" applyFont="1" applyBorder="1" applyAlignment="1">
      <alignment horizontal="right" vertical="center" wrapText="1"/>
    </xf>
    <xf numFmtId="0" fontId="16" fillId="0" borderId="22" xfId="0" applyFont="1" applyBorder="1" applyAlignment="1">
      <alignment horizontal="right" vertical="center" wrapText="1"/>
    </xf>
    <xf numFmtId="0" fontId="0" fillId="0" borderId="22" xfId="0" applyFont="1" applyFill="1" applyBorder="1" applyAlignment="1">
      <alignment horizontal="right"/>
    </xf>
    <xf numFmtId="0" fontId="0" fillId="0" borderId="22" xfId="0" applyFont="1" applyFill="1" applyBorder="1" applyAlignment="1">
      <alignment horizontal="center"/>
    </xf>
    <xf numFmtId="0" fontId="0" fillId="3" borderId="22" xfId="0" applyFont="1" applyFill="1" applyBorder="1" applyAlignment="1">
      <alignment horizontal="center"/>
    </xf>
    <xf numFmtId="0" fontId="0" fillId="3" borderId="22" xfId="0" applyFont="1" applyFill="1" applyBorder="1" applyAlignment="1">
      <alignment horizontal="left"/>
    </xf>
    <xf numFmtId="0" fontId="16" fillId="0" borderId="22" xfId="0" applyFont="1" applyFill="1" applyBorder="1" applyAlignment="1">
      <alignment horizontal="center" vertical="center"/>
    </xf>
    <xf numFmtId="3" fontId="0" fillId="0" borderId="3" xfId="0" applyNumberFormat="1" applyFont="1" applyFill="1" applyBorder="1" applyAlignment="1">
      <alignment horizontal="right" vertical="center" wrapText="1"/>
    </xf>
    <xf numFmtId="1" fontId="14" fillId="2" borderId="22" xfId="0" applyNumberFormat="1" applyFont="1" applyFill="1" applyBorder="1" applyAlignment="1">
      <alignment horizontal="center" vertical="center" wrapText="1"/>
    </xf>
    <xf numFmtId="3" fontId="16" fillId="0" borderId="22" xfId="0" applyNumberFormat="1" applyFont="1" applyFill="1" applyBorder="1" applyAlignment="1">
      <alignment horizontal="center" vertical="center"/>
    </xf>
    <xf numFmtId="3" fontId="16" fillId="13" borderId="22" xfId="0" applyNumberFormat="1" applyFont="1" applyFill="1" applyBorder="1" applyAlignment="1">
      <alignment horizontal="center" vertical="center"/>
    </xf>
    <xf numFmtId="49" fontId="16" fillId="0" borderId="22" xfId="0" applyNumberFormat="1" applyFont="1" applyBorder="1" applyAlignment="1">
      <alignment horizontal="center" vertical="center" wrapText="1"/>
    </xf>
    <xf numFmtId="3" fontId="16" fillId="0" borderId="22" xfId="0" applyNumberFormat="1" applyFont="1" applyBorder="1" applyAlignment="1">
      <alignment horizontal="right" vertical="center" wrapText="1"/>
    </xf>
    <xf numFmtId="0" fontId="16" fillId="3" borderId="22" xfId="0" applyFont="1" applyFill="1" applyBorder="1" applyAlignment="1">
      <alignment horizontal="center" vertical="center" wrapText="1"/>
    </xf>
    <xf numFmtId="3" fontId="15" fillId="3" borderId="22" xfId="0" applyNumberFormat="1" applyFont="1" applyFill="1" applyBorder="1" applyAlignment="1">
      <alignment horizontal="center" vertical="center" wrapText="1"/>
    </xf>
    <xf numFmtId="3" fontId="16" fillId="3" borderId="22" xfId="0" applyNumberFormat="1" applyFont="1" applyFill="1" applyBorder="1" applyAlignment="1">
      <alignment horizontal="center" vertical="center"/>
    </xf>
    <xf numFmtId="0" fontId="0" fillId="3" borderId="3" xfId="0" applyNumberFormat="1" applyFont="1" applyFill="1" applyBorder="1" applyAlignment="1">
      <alignment horizontal="center" vertical="center"/>
    </xf>
    <xf numFmtId="3" fontId="0" fillId="3" borderId="3" xfId="0" applyNumberFormat="1" applyFont="1" applyFill="1" applyBorder="1" applyAlignment="1">
      <alignment horizontal="center" vertical="center" wrapText="1"/>
    </xf>
    <xf numFmtId="49" fontId="0" fillId="3" borderId="3" xfId="0" applyNumberFormat="1" applyFont="1" applyFill="1" applyBorder="1" applyAlignment="1">
      <alignment horizontal="center" vertical="center"/>
    </xf>
    <xf numFmtId="0" fontId="11" fillId="12" borderId="3" xfId="0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9" fontId="2" fillId="0" borderId="3" xfId="9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 vertical="center"/>
    </xf>
    <xf numFmtId="0" fontId="14" fillId="2" borderId="11" xfId="0" applyFont="1" applyFill="1" applyBorder="1" applyAlignment="1">
      <alignment horizontal="center" vertical="center"/>
    </xf>
    <xf numFmtId="173" fontId="14" fillId="2" borderId="3" xfId="2" applyNumberFormat="1" applyFont="1" applyFill="1" applyBorder="1" applyAlignment="1">
      <alignment horizontal="center" vertical="center"/>
    </xf>
    <xf numFmtId="1" fontId="14" fillId="2" borderId="3" xfId="2" applyNumberFormat="1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 wrapText="1"/>
    </xf>
    <xf numFmtId="9" fontId="2" fillId="12" borderId="3" xfId="2" applyNumberFormat="1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left" vertical="center" wrapText="1"/>
    </xf>
    <xf numFmtId="0" fontId="11" fillId="0" borderId="22" xfId="0" applyFont="1" applyFill="1" applyBorder="1" applyAlignment="1">
      <alignment horizontal="center" vertical="center"/>
    </xf>
    <xf numFmtId="3" fontId="11" fillId="0" borderId="22" xfId="0" applyNumberFormat="1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left" indent="23"/>
    </xf>
    <xf numFmtId="0" fontId="22" fillId="3" borderId="0" xfId="0" applyFont="1" applyFill="1" applyAlignment="1">
      <alignment horizontal="left" indent="5"/>
    </xf>
    <xf numFmtId="0" fontId="0" fillId="3" borderId="0" xfId="0" applyFill="1"/>
    <xf numFmtId="0" fontId="12" fillId="3" borderId="0" xfId="0" applyFont="1" applyFill="1" applyAlignment="1">
      <alignment horizontal="left" vertical="center" indent="5"/>
    </xf>
    <xf numFmtId="0" fontId="19" fillId="3" borderId="0" xfId="0" applyFont="1" applyFill="1" applyAlignment="1">
      <alignment horizontal="left" vertical="center" indent="22"/>
    </xf>
    <xf numFmtId="0" fontId="20" fillId="3" borderId="0" xfId="0" applyFont="1" applyFill="1" applyAlignment="1">
      <alignment horizontal="left" vertical="center"/>
    </xf>
    <xf numFmtId="0" fontId="33" fillId="3" borderId="0" xfId="0" applyFont="1" applyFill="1" applyAlignment="1">
      <alignment horizontal="left" vertical="center" indent="23"/>
    </xf>
    <xf numFmtId="169" fontId="11" fillId="3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center"/>
    </xf>
    <xf numFmtId="3" fontId="1" fillId="3" borderId="3" xfId="2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3" fontId="11" fillId="0" borderId="3" xfId="2" applyNumberFormat="1" applyFont="1" applyFill="1" applyBorder="1" applyAlignment="1">
      <alignment horizontal="center" vertical="center"/>
    </xf>
    <xf numFmtId="3" fontId="0" fillId="3" borderId="3" xfId="0" applyNumberFormat="1" applyFont="1" applyFill="1" applyBorder="1" applyAlignment="1">
      <alignment horizontal="center"/>
    </xf>
    <xf numFmtId="0" fontId="22" fillId="3" borderId="0" xfId="0" applyFont="1" applyFill="1" applyAlignment="1">
      <alignment horizontal="left" indent="14"/>
    </xf>
    <xf numFmtId="0" fontId="12" fillId="3" borderId="0" xfId="0" applyFont="1" applyFill="1" applyAlignment="1">
      <alignment horizontal="left" vertical="center" indent="14"/>
    </xf>
    <xf numFmtId="0" fontId="34" fillId="3" borderId="0" xfId="0" applyFont="1" applyFill="1" applyAlignment="1">
      <alignment horizontal="left" indent="19"/>
    </xf>
    <xf numFmtId="0" fontId="33" fillId="3" borderId="0" xfId="0" applyFont="1" applyFill="1" applyAlignment="1">
      <alignment horizontal="left" vertical="center" indent="19"/>
    </xf>
    <xf numFmtId="0" fontId="34" fillId="3" borderId="0" xfId="0" applyFont="1" applyFill="1" applyAlignment="1">
      <alignment horizontal="left" indent="5"/>
    </xf>
    <xf numFmtId="0" fontId="34" fillId="3" borderId="0" xfId="0" applyFont="1" applyFill="1" applyAlignment="1">
      <alignment horizontal="left" indent="23"/>
    </xf>
    <xf numFmtId="0" fontId="33" fillId="3" borderId="0" xfId="0" applyFont="1" applyFill="1" applyAlignment="1">
      <alignment horizontal="left" vertical="center" indent="22"/>
    </xf>
    <xf numFmtId="0" fontId="34" fillId="3" borderId="0" xfId="0" applyFont="1" applyFill="1" applyAlignment="1">
      <alignment horizontal="left" indent="22"/>
    </xf>
    <xf numFmtId="1" fontId="14" fillId="2" borderId="3" xfId="0" applyNumberFormat="1" applyFont="1" applyFill="1" applyBorder="1" applyAlignment="1">
      <alignment horizontal="center"/>
    </xf>
    <xf numFmtId="173" fontId="14" fillId="2" borderId="3" xfId="0" applyNumberFormat="1" applyFont="1" applyFill="1" applyBorder="1" applyAlignment="1">
      <alignment horizontal="center" vertical="center"/>
    </xf>
    <xf numFmtId="0" fontId="0" fillId="0" borderId="22" xfId="0" applyFont="1" applyFill="1" applyBorder="1"/>
    <xf numFmtId="3" fontId="0" fillId="0" borderId="8" xfId="0" applyNumberFormat="1" applyFont="1" applyFill="1" applyBorder="1"/>
    <xf numFmtId="174" fontId="0" fillId="0" borderId="3" xfId="0" applyNumberFormat="1" applyFont="1" applyFill="1" applyBorder="1" applyAlignment="1">
      <alignment horizontal="center" vertical="center"/>
    </xf>
    <xf numFmtId="3" fontId="0" fillId="0" borderId="8" xfId="0" applyNumberFormat="1" applyFont="1" applyFill="1" applyBorder="1" applyAlignment="1">
      <alignment horizontal="center"/>
    </xf>
    <xf numFmtId="0" fontId="14" fillId="2" borderId="10" xfId="0" applyFont="1" applyFill="1" applyBorder="1"/>
    <xf numFmtId="0" fontId="0" fillId="0" borderId="11" xfId="0" applyFont="1" applyFill="1" applyBorder="1" applyAlignment="1">
      <alignment horizontal="justify" vertical="top" wrapText="1"/>
    </xf>
    <xf numFmtId="9" fontId="11" fillId="0" borderId="3" xfId="9" applyNumberFormat="1" applyFont="1" applyFill="1" applyBorder="1" applyAlignment="1">
      <alignment horizontal="center" vertical="center" wrapText="1"/>
    </xf>
    <xf numFmtId="0" fontId="35" fillId="3" borderId="0" xfId="0" applyFont="1" applyFill="1" applyAlignment="1">
      <alignment horizontal="left" indent="23"/>
    </xf>
    <xf numFmtId="2" fontId="0" fillId="0" borderId="3" xfId="0" applyNumberFormat="1" applyBorder="1" applyAlignment="1">
      <alignment horizontal="center" wrapText="1"/>
    </xf>
    <xf numFmtId="2" fontId="1" fillId="0" borderId="7" xfId="0" applyNumberFormat="1" applyFont="1" applyFill="1" applyBorder="1" applyAlignment="1">
      <alignment horizontal="center"/>
    </xf>
    <xf numFmtId="166" fontId="7" fillId="0" borderId="7" xfId="9" applyNumberFormat="1" applyFont="1" applyFill="1" applyBorder="1" applyAlignment="1">
      <alignment horizontal="center"/>
    </xf>
    <xf numFmtId="2" fontId="0" fillId="0" borderId="7" xfId="0" applyNumberFormat="1" applyFont="1" applyFill="1" applyBorder="1" applyAlignment="1">
      <alignment horizontal="center"/>
    </xf>
    <xf numFmtId="9" fontId="1" fillId="0" borderId="10" xfId="9" applyNumberFormat="1" applyFont="1" applyFill="1" applyBorder="1" applyAlignment="1">
      <alignment horizontal="center"/>
    </xf>
    <xf numFmtId="0" fontId="11" fillId="3" borderId="29" xfId="0" applyFont="1" applyFill="1" applyBorder="1" applyAlignment="1">
      <alignment horizontal="center"/>
    </xf>
    <xf numFmtId="3" fontId="11" fillId="3" borderId="31" xfId="0" applyNumberFormat="1" applyFont="1" applyFill="1" applyBorder="1"/>
    <xf numFmtId="3" fontId="11" fillId="3" borderId="31" xfId="0" applyNumberFormat="1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3" fontId="11" fillId="0" borderId="22" xfId="0" applyNumberFormat="1" applyFont="1" applyFill="1" applyBorder="1"/>
    <xf numFmtId="3" fontId="11" fillId="0" borderId="22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10" xfId="0" applyFont="1" applyFill="1" applyBorder="1" applyAlignment="1">
      <alignment horizontal="left"/>
    </xf>
    <xf numFmtId="3" fontId="0" fillId="0" borderId="10" xfId="0" applyNumberFormat="1" applyFont="1" applyFill="1" applyBorder="1" applyAlignment="1">
      <alignment horizontal="center" vertical="center"/>
    </xf>
    <xf numFmtId="3" fontId="0" fillId="3" borderId="22" xfId="0" applyNumberFormat="1" applyFont="1" applyFill="1" applyBorder="1" applyAlignment="1">
      <alignment horizontal="center" vertical="center"/>
    </xf>
    <xf numFmtId="9" fontId="0" fillId="0" borderId="22" xfId="9" applyFont="1" applyFill="1" applyBorder="1" applyAlignment="1">
      <alignment horizontal="center" vertical="center"/>
    </xf>
    <xf numFmtId="3" fontId="0" fillId="0" borderId="22" xfId="0" applyNumberFormat="1" applyFont="1" applyFill="1" applyBorder="1" applyAlignment="1">
      <alignment horizontal="center"/>
    </xf>
    <xf numFmtId="0" fontId="0" fillId="0" borderId="10" xfId="0" applyFont="1" applyFill="1" applyBorder="1"/>
    <xf numFmtId="169" fontId="0" fillId="0" borderId="10" xfId="0" applyNumberFormat="1" applyFont="1" applyFill="1" applyBorder="1" applyAlignment="1">
      <alignment horizontal="center"/>
    </xf>
    <xf numFmtId="2" fontId="0" fillId="0" borderId="10" xfId="0" applyNumberFormat="1" applyFont="1" applyFill="1" applyBorder="1" applyAlignment="1">
      <alignment horizontal="center"/>
    </xf>
    <xf numFmtId="169" fontId="0" fillId="0" borderId="22" xfId="0" applyNumberFormat="1" applyFont="1" applyFill="1" applyBorder="1" applyAlignment="1">
      <alignment horizontal="center"/>
    </xf>
    <xf numFmtId="3" fontId="1" fillId="0" borderId="3" xfId="0" applyNumberFormat="1" applyFont="1" applyFill="1" applyBorder="1" applyAlignment="1" applyProtection="1">
      <protection locked="0"/>
    </xf>
    <xf numFmtId="9" fontId="1" fillId="0" borderId="0" xfId="9" applyFont="1" applyFill="1" applyBorder="1" applyAlignment="1">
      <alignment horizontal="center" vertical="center"/>
    </xf>
    <xf numFmtId="9" fontId="1" fillId="0" borderId="13" xfId="9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9" fontId="7" fillId="0" borderId="0" xfId="9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1" fontId="2" fillId="3" borderId="3" xfId="2" applyNumberFormat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 wrapText="1"/>
    </xf>
    <xf numFmtId="0" fontId="11" fillId="0" borderId="30" xfId="0" applyFont="1" applyFill="1" applyBorder="1" applyAlignment="1">
      <alignment horizontal="center" vertical="center"/>
    </xf>
    <xf numFmtId="3" fontId="11" fillId="0" borderId="30" xfId="0" applyNumberFormat="1" applyFont="1" applyFill="1" applyBorder="1" applyAlignment="1">
      <alignment horizontal="center" vertical="center" wrapText="1"/>
    </xf>
    <xf numFmtId="0" fontId="11" fillId="14" borderId="3" xfId="0" applyFont="1" applyFill="1" applyBorder="1"/>
    <xf numFmtId="0" fontId="11" fillId="14" borderId="3" xfId="0" applyFont="1" applyFill="1" applyBorder="1" applyAlignment="1">
      <alignment horizontal="center" vertical="center"/>
    </xf>
    <xf numFmtId="3" fontId="11" fillId="14" borderId="3" xfId="0" applyNumberFormat="1" applyFont="1" applyFill="1" applyBorder="1" applyAlignment="1">
      <alignment horizontal="center"/>
    </xf>
    <xf numFmtId="174" fontId="0" fillId="0" borderId="0" xfId="9" applyNumberFormat="1" applyFont="1"/>
    <xf numFmtId="0" fontId="14" fillId="2" borderId="3" xfId="0" applyFont="1" applyFill="1" applyBorder="1" applyAlignment="1">
      <alignment horizontal="center" vertical="center"/>
    </xf>
    <xf numFmtId="9" fontId="11" fillId="12" borderId="3" xfId="9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right"/>
      <protection locked="0"/>
    </xf>
    <xf numFmtId="0" fontId="0" fillId="0" borderId="0" xfId="0" applyFont="1" applyBorder="1" applyAlignment="1">
      <alignment horizontal="center" vertical="center"/>
    </xf>
    <xf numFmtId="9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3" fontId="14" fillId="2" borderId="3" xfId="0" applyNumberFormat="1" applyFont="1" applyFill="1" applyBorder="1" applyAlignment="1">
      <alignment horizontal="center" vertical="center"/>
    </xf>
    <xf numFmtId="3" fontId="36" fillId="0" borderId="3" xfId="0" applyNumberFormat="1" applyFont="1" applyFill="1" applyBorder="1" applyAlignment="1" applyProtection="1">
      <alignment horizontal="right"/>
      <protection locked="0"/>
    </xf>
    <xf numFmtId="3" fontId="18" fillId="0" borderId="3" xfId="0" applyNumberFormat="1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right" vertical="center" wrapText="1"/>
    </xf>
    <xf numFmtId="3" fontId="0" fillId="0" borderId="0" xfId="0" applyNumberFormat="1" applyFont="1" applyFill="1" applyBorder="1" applyAlignment="1">
      <alignment horizontal="center" vertical="center" wrapText="1"/>
    </xf>
    <xf numFmtId="3" fontId="11" fillId="15" borderId="3" xfId="0" applyNumberFormat="1" applyFont="1" applyFill="1" applyBorder="1" applyAlignment="1">
      <alignment horizontal="right" vertical="center" wrapText="1"/>
    </xf>
    <xf numFmtId="3" fontId="11" fillId="15" borderId="3" xfId="0" applyNumberFormat="1" applyFont="1" applyFill="1" applyBorder="1" applyAlignment="1">
      <alignment horizontal="center" vertical="center" wrapText="1"/>
    </xf>
    <xf numFmtId="3" fontId="11" fillId="0" borderId="0" xfId="0" applyNumberFormat="1" applyFont="1"/>
    <xf numFmtId="0" fontId="11" fillId="2" borderId="1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right"/>
    </xf>
    <xf numFmtId="0" fontId="11" fillId="0" borderId="3" xfId="0" applyFont="1" applyFill="1" applyBorder="1" applyAlignment="1">
      <alignment horizontal="left"/>
    </xf>
    <xf numFmtId="1" fontId="11" fillId="0" borderId="3" xfId="0" applyNumberFormat="1" applyFont="1" applyFill="1" applyBorder="1" applyAlignment="1">
      <alignment horizontal="center"/>
    </xf>
    <xf numFmtId="0" fontId="11" fillId="0" borderId="3" xfId="0" applyFont="1" applyFill="1" applyBorder="1"/>
    <xf numFmtId="3" fontId="2" fillId="0" borderId="3" xfId="0" applyNumberFormat="1" applyFont="1" applyFill="1" applyBorder="1" applyAlignment="1" applyProtection="1">
      <alignment horizontal="left"/>
      <protection locked="0"/>
    </xf>
    <xf numFmtId="3" fontId="2" fillId="0" borderId="3" xfId="0" applyNumberFormat="1" applyFont="1" applyFill="1" applyBorder="1" applyAlignment="1" applyProtection="1">
      <alignment horizontal="center" vertical="center"/>
      <protection locked="0"/>
    </xf>
    <xf numFmtId="0" fontId="16" fillId="16" borderId="22" xfId="0" applyFont="1" applyFill="1" applyBorder="1" applyAlignment="1">
      <alignment horizontal="center" vertical="center"/>
    </xf>
    <xf numFmtId="166" fontId="11" fillId="0" borderId="0" xfId="9" applyNumberFormat="1" applyFont="1" applyFill="1"/>
    <xf numFmtId="3" fontId="0" fillId="0" borderId="4" xfId="0" applyNumberFormat="1" applyFont="1" applyFill="1" applyBorder="1" applyAlignment="1">
      <alignment horizontal="center"/>
    </xf>
    <xf numFmtId="0" fontId="24" fillId="2" borderId="5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left" vertical="center" wrapText="1"/>
    </xf>
    <xf numFmtId="3" fontId="14" fillId="2" borderId="26" xfId="0" applyNumberFormat="1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9" fontId="7" fillId="0" borderId="3" xfId="9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3" fontId="14" fillId="2" borderId="3" xfId="0" applyNumberFormat="1" applyFont="1" applyFill="1" applyBorder="1" applyAlignment="1">
      <alignment horizontal="center" vertical="center" wrapText="1"/>
    </xf>
    <xf numFmtId="3" fontId="14" fillId="9" borderId="3" xfId="0" applyNumberFormat="1" applyFont="1" applyFill="1" applyBorder="1" applyAlignment="1">
      <alignment horizontal="center" vertical="center" wrapText="1"/>
    </xf>
    <xf numFmtId="3" fontId="14" fillId="2" borderId="10" xfId="0" applyNumberFormat="1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>
      <alignment horizontal="center" vertical="center" wrapText="1"/>
    </xf>
    <xf numFmtId="3" fontId="14" fillId="2" borderId="11" xfId="0" applyNumberFormat="1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left" vertical="center"/>
    </xf>
    <xf numFmtId="0" fontId="0" fillId="0" borderId="11" xfId="0" applyFont="1" applyFill="1" applyBorder="1" applyAlignment="1">
      <alignment horizontal="left" vertical="center"/>
    </xf>
    <xf numFmtId="3" fontId="14" fillId="2" borderId="32" xfId="0" applyNumberFormat="1" applyFont="1" applyFill="1" applyBorder="1" applyAlignment="1">
      <alignment horizontal="center" vertical="center" wrapText="1"/>
    </xf>
    <xf numFmtId="3" fontId="14" fillId="2" borderId="33" xfId="0" applyNumberFormat="1" applyFont="1" applyFill="1" applyBorder="1" applyAlignment="1">
      <alignment horizontal="center" vertical="center" wrapText="1"/>
    </xf>
    <xf numFmtId="3" fontId="14" fillId="2" borderId="34" xfId="0" applyNumberFormat="1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1" fontId="14" fillId="2" borderId="22" xfId="0" applyNumberFormat="1" applyFont="1" applyFill="1" applyBorder="1" applyAlignment="1">
      <alignment horizontal="center" vertical="center" wrapText="1"/>
    </xf>
    <xf numFmtId="0" fontId="14" fillId="2" borderId="29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3" fontId="14" fillId="2" borderId="7" xfId="0" applyNumberFormat="1" applyFont="1" applyFill="1" applyBorder="1" applyAlignment="1">
      <alignment horizontal="center" vertical="center" wrapText="1"/>
    </xf>
    <xf numFmtId="3" fontId="14" fillId="2" borderId="8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167" fontId="14" fillId="2" borderId="10" xfId="0" applyNumberFormat="1" applyFont="1" applyFill="1" applyBorder="1" applyAlignment="1">
      <alignment horizontal="center" vertical="center" wrapText="1"/>
    </xf>
    <xf numFmtId="167" fontId="14" fillId="2" borderId="11" xfId="0" applyNumberFormat="1" applyFont="1" applyFill="1" applyBorder="1" applyAlignment="1">
      <alignment horizontal="center" vertical="center" wrapText="1"/>
    </xf>
    <xf numFmtId="168" fontId="2" fillId="3" borderId="7" xfId="9" applyNumberFormat="1" applyFont="1" applyFill="1" applyBorder="1" applyAlignment="1" applyProtection="1">
      <alignment horizontal="center" vertical="center"/>
      <protection locked="0"/>
    </xf>
    <xf numFmtId="168" fontId="2" fillId="3" borderId="9" xfId="9" applyNumberFormat="1" applyFont="1" applyFill="1" applyBorder="1" applyAlignment="1" applyProtection="1">
      <alignment horizontal="center" vertical="center"/>
      <protection locked="0"/>
    </xf>
    <xf numFmtId="168" fontId="2" fillId="3" borderId="8" xfId="9" applyNumberFormat="1" applyFont="1" applyFill="1" applyBorder="1" applyAlignment="1" applyProtection="1">
      <alignment horizontal="center" vertical="center"/>
      <protection locked="0"/>
    </xf>
    <xf numFmtId="168" fontId="1" fillId="0" borderId="22" xfId="0" applyNumberFormat="1" applyFont="1" applyFill="1" applyBorder="1" applyAlignment="1">
      <alignment horizontal="center"/>
    </xf>
    <xf numFmtId="4" fontId="1" fillId="0" borderId="22" xfId="0" applyNumberFormat="1" applyFont="1" applyFill="1" applyBorder="1" applyAlignment="1">
      <alignment horizontal="center"/>
    </xf>
    <xf numFmtId="9" fontId="1" fillId="0" borderId="22" xfId="9" applyFont="1" applyFill="1" applyBorder="1" applyAlignment="1">
      <alignment horizontal="center"/>
    </xf>
    <xf numFmtId="17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6" fillId="10" borderId="15" xfId="0" applyFont="1" applyFill="1" applyBorder="1" applyAlignment="1">
      <alignment horizontal="center" vertical="center"/>
    </xf>
    <xf numFmtId="0" fontId="26" fillId="10" borderId="16" xfId="0" applyFont="1" applyFill="1" applyBorder="1" applyAlignment="1">
      <alignment horizontal="center" vertical="center"/>
    </xf>
    <xf numFmtId="0" fontId="26" fillId="10" borderId="17" xfId="0" applyFont="1" applyFill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8" fillId="4" borderId="15" xfId="0" applyFont="1" applyFill="1" applyBorder="1" applyAlignment="1">
      <alignment horizontal="center" vertical="center"/>
    </xf>
    <xf numFmtId="0" fontId="28" fillId="4" borderId="16" xfId="0" applyFont="1" applyFill="1" applyBorder="1" applyAlignment="1">
      <alignment horizontal="center" vertical="center"/>
    </xf>
    <xf numFmtId="0" fontId="28" fillId="4" borderId="17" xfId="0" applyFont="1" applyFill="1" applyBorder="1" applyAlignment="1">
      <alignment horizontal="center" vertical="center"/>
    </xf>
    <xf numFmtId="0" fontId="28" fillId="4" borderId="15" xfId="0" applyFont="1" applyFill="1" applyBorder="1" applyAlignment="1">
      <alignment horizontal="center" vertical="center" wrapText="1"/>
    </xf>
    <xf numFmtId="0" fontId="28" fillId="4" borderId="16" xfId="0" applyFont="1" applyFill="1" applyBorder="1" applyAlignment="1">
      <alignment horizontal="center" vertical="center" wrapText="1"/>
    </xf>
    <xf numFmtId="0" fontId="28" fillId="4" borderId="17" xfId="0" applyFont="1" applyFill="1" applyBorder="1" applyAlignment="1">
      <alignment horizontal="center" vertical="center" wrapText="1"/>
    </xf>
    <xf numFmtId="165" fontId="27" fillId="0" borderId="14" xfId="0" applyNumberFormat="1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9" fillId="4" borderId="15" xfId="0" applyFont="1" applyFill="1" applyBorder="1" applyAlignment="1">
      <alignment horizontal="center" vertical="center"/>
    </xf>
    <xf numFmtId="0" fontId="29" fillId="4" borderId="16" xfId="0" applyFont="1" applyFill="1" applyBorder="1" applyAlignment="1">
      <alignment horizontal="center" vertical="center"/>
    </xf>
    <xf numFmtId="0" fontId="29" fillId="4" borderId="17" xfId="0" applyFont="1" applyFill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29" fillId="4" borderId="14" xfId="0" applyFont="1" applyFill="1" applyBorder="1" applyAlignment="1">
      <alignment horizontal="center" vertical="center"/>
    </xf>
  </cellXfs>
  <cellStyles count="15">
    <cellStyle name="Гиперссылка" xfId="1" builtinId="8"/>
    <cellStyle name="Обычный" xfId="0" builtinId="0"/>
    <cellStyle name="Обычный 2" xfId="2"/>
    <cellStyle name="Обычный 2 10 2" xfId="3"/>
    <cellStyle name="Обычный 2 2" xfId="4"/>
    <cellStyle name="Обычный 2 2 5" xfId="5"/>
    <cellStyle name="Обычный 3 7" xfId="6"/>
    <cellStyle name="Обычный 3 7 2" xfId="7"/>
    <cellStyle name="Обычный 43" xfId="8"/>
    <cellStyle name="Процентный" xfId="9" builtinId="5"/>
    <cellStyle name="Процентный 13" xfId="10"/>
    <cellStyle name="Процентный 2 11" xfId="11"/>
    <cellStyle name="Процентный 2 17" xfId="12"/>
    <cellStyle name="Процентный 3 4" xfId="13"/>
    <cellStyle name="Процентный 3 4 2" xfId="14"/>
  </cellStyles>
  <dxfs count="4"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9900"/>
      <color rgb="FFB2DE82"/>
      <color rgb="FF1F4E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3" Type="http://schemas.microsoft.com/office/2011/relationships/chartStyle" Target="style8.xml"/><Relationship Id="rId2" Type="http://schemas.microsoft.com/office/2011/relationships/chartColorStyle" Target="colors8.xml"/><Relationship Id="rId1" Type="http://schemas.openxmlformats.org/officeDocument/2006/relationships/themeOverride" Target="../theme/themeOverride5.xml"/></Relationships>
</file>

<file path=xl/charts/_rels/chart13.xml.rels><?xml version="1.0" encoding="UTF-8" standalone="yes"?>
<Relationships xmlns="http://schemas.openxmlformats.org/package/2006/relationships"><Relationship Id="rId3" Type="http://schemas.microsoft.com/office/2011/relationships/chartStyle" Target="style9.xml"/><Relationship Id="rId2" Type="http://schemas.microsoft.com/office/2011/relationships/chartColorStyle" Target="colors9.xml"/><Relationship Id="rId1" Type="http://schemas.openxmlformats.org/officeDocument/2006/relationships/themeOverride" Target="../theme/themeOverrid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6.xml.rels><?xml version="1.0" encoding="UTF-8" standalone="yes"?>
<Relationships xmlns="http://schemas.openxmlformats.org/package/2006/relationships"><Relationship Id="rId3" Type="http://schemas.microsoft.com/office/2011/relationships/chartStyle" Target="style12.xml"/><Relationship Id="rId2" Type="http://schemas.microsoft.com/office/2011/relationships/chartColorStyle" Target="colors12.xml"/><Relationship Id="rId1" Type="http://schemas.openxmlformats.org/officeDocument/2006/relationships/image" Target="../media/image2.png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3" Type="http://schemas.microsoft.com/office/2011/relationships/chartStyle" Target="style1.xml"/><Relationship Id="rId2" Type="http://schemas.microsoft.com/office/2011/relationships/chartColorStyle" Target="colors1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3" Type="http://schemas.microsoft.com/office/2011/relationships/chartStyle" Target="style2.xml"/><Relationship Id="rId2" Type="http://schemas.microsoft.com/office/2011/relationships/chartColorStyle" Target="colors2.xml"/><Relationship Id="rId1" Type="http://schemas.openxmlformats.org/officeDocument/2006/relationships/image" Target="../media/image4.png"/></Relationships>
</file>

<file path=xl/charts/_rels/chart7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image" Target="../media/image4.png"/></Relationships>
</file>

<file path=xl/charts/_rels/chart8.xml.rels><?xml version="1.0" encoding="UTF-8" standalone="yes"?>
<Relationships xmlns="http://schemas.openxmlformats.org/package/2006/relationships"><Relationship Id="rId3" Type="http://schemas.microsoft.com/office/2011/relationships/chartStyle" Target="style4.xml"/><Relationship Id="rId2" Type="http://schemas.microsoft.com/office/2011/relationships/chartColorStyle" Target="colors4.xml"/><Relationship Id="rId1" Type="http://schemas.openxmlformats.org/officeDocument/2006/relationships/image" Target="../media/image5.png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Динамика производства мяса КРС и мяса птицы</a:t>
            </a:r>
            <a:r>
              <a:rPr lang="ru-RU" b="1" baseline="0"/>
              <a:t> в РФ</a:t>
            </a:r>
            <a:r>
              <a:rPr lang="ru-RU" b="1"/>
              <a:t>, тыс. тонн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Лист2!$A$12</c:f>
              <c:strCache>
                <c:ptCount val="1"/>
                <c:pt idx="0">
                  <c:v>Мясо КРС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Lbls>
            <c:spPr>
              <a:blipFill dpi="0" rotWithShape="0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Лист2!$B$10:$F$10</c:f>
              <c:numCache>
                <c:formatCode>#,##0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Лист2!$B$12:$F$12</c:f>
              <c:numCache>
                <c:formatCode>#,##0</c:formatCode>
                <c:ptCount val="5"/>
                <c:pt idx="0">
                  <c:v>1992.1543799999999</c:v>
                </c:pt>
                <c:pt idx="1">
                  <c:v>2290.7898700000001</c:v>
                </c:pt>
                <c:pt idx="2">
                  <c:v>2591.7803100000001</c:v>
                </c:pt>
                <c:pt idx="3">
                  <c:v>2549.5052099999998</c:v>
                </c:pt>
                <c:pt idx="4">
                  <c:v>2854.8386499999997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84-442B-B17A-0A52EFF05D52}"/>
            </c:ext>
          </c:extLst>
        </c:ser>
        <c:ser>
          <c:idx val="1"/>
          <c:order val="1"/>
          <c:tx>
            <c:strRef>
              <c:f>Лист2!$A$13</c:f>
              <c:strCache>
                <c:ptCount val="1"/>
                <c:pt idx="0">
                  <c:v>Мясо птицы</c:v>
                </c:pt>
              </c:strCache>
            </c:strRef>
          </c:tx>
          <c:spPr>
            <a:solidFill>
              <a:srgbClr val="A5A5A5"/>
            </a:solidFill>
            <a:ln w="25400">
              <a:noFill/>
            </a:ln>
          </c:spPr>
          <c:invertIfNegative val="0"/>
          <c:dLbls>
            <c:spPr>
              <a:blipFill dpi="0" rotWithShape="0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Лист2!$B$10:$F$10</c:f>
              <c:numCache>
                <c:formatCode>#,##0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Лист2!$B$13:$F$13</c:f>
              <c:numCache>
                <c:formatCode>#,##0</c:formatCode>
                <c:ptCount val="5"/>
                <c:pt idx="0">
                  <c:v>3557.4835400000002</c:v>
                </c:pt>
                <c:pt idx="1">
                  <c:v>3875.4139699999996</c:v>
                </c:pt>
                <c:pt idx="2">
                  <c:v>3969.5823100000007</c:v>
                </c:pt>
                <c:pt idx="3">
                  <c:v>4317.6807500000004</c:v>
                </c:pt>
                <c:pt idx="4">
                  <c:v>4343.1153900000008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B84-442B-B17A-0A52EFF05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axId val="138293248"/>
        <c:axId val="113224512"/>
      </c:barChart>
      <c:catAx>
        <c:axId val="138293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113224512"/>
        <c:crosses val="autoZero"/>
        <c:auto val="1"/>
        <c:lblAlgn val="ctr"/>
        <c:lblOffset val="100"/>
        <c:tickMarkSkip val="1"/>
        <c:noMultiLvlLbl val="0"/>
      </c:catAx>
      <c:valAx>
        <c:axId val="113224512"/>
        <c:scaling>
          <c:orientation val="minMax"/>
          <c:min val="1500"/>
        </c:scaling>
        <c:delete val="1"/>
        <c:axPos val="l"/>
        <c:numFmt formatCode="#,##0" sourceLinked="1"/>
        <c:majorTickMark val="out"/>
        <c:minorTickMark val="none"/>
        <c:tickLblPos val="nextTo"/>
        <c:crossAx val="13829324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Структура выручки,%</a:t>
            </a:r>
          </a:p>
        </c:rich>
      </c:tx>
      <c:layout>
        <c:manualLayout>
          <c:xMode val="edge"/>
          <c:yMode val="edge"/>
          <c:x val="0.31831754833462717"/>
          <c:y val="2.0369175164579837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1332492951142133E-2"/>
          <c:y val="0.13661202185792351"/>
          <c:w val="0.488785769528229"/>
          <c:h val="0.86338797814207657"/>
        </c:manualLayout>
      </c:layout>
      <c:doughnut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CD9-40A9-99C0-D8CAAA25FE8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CD9-40A9-99C0-D8CAAA25FE8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CD9-40A9-99C0-D8CAAA25FE8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CD9-40A9-99C0-D8CAAA25FE8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FC9-4AF7-AEB8-CF4E670CDEA9}"/>
              </c:ext>
            </c:extLst>
          </c:dPt>
          <c:dLbls>
            <c:dLbl>
              <c:idx val="1"/>
              <c:layout>
                <c:manualLayout>
                  <c:x val="-1.2941398566478501E-2"/>
                  <c:y val="2.18579234972678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D9-40A9-99C0-D8CAAA25FE8C}"/>
                </c:ext>
              </c:extLst>
            </c:dLbl>
            <c:dLbl>
              <c:idx val="2"/>
              <c:layout>
                <c:manualLayout>
                  <c:x val="-4.9748677007021437E-2"/>
                  <c:y val="2.7322404371584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D9-40A9-99C0-D8CAAA25FE8C}"/>
                </c:ext>
              </c:extLst>
            </c:dLbl>
            <c:dLbl>
              <c:idx val="3"/>
              <c:layout>
                <c:manualLayout>
                  <c:x val="-2.7906778474036453E-2"/>
                  <c:y val="-4.371584699453551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D9-40A9-99C0-D8CAAA25FE8C}"/>
                </c:ext>
              </c:extLst>
            </c:dLbl>
            <c:dLbl>
              <c:idx val="4"/>
              <c:layout>
                <c:manualLayout>
                  <c:x val="3.0935808197989172E-2"/>
                  <c:y val="-4.918032786885247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FC9-4AF7-AEB8-CF4E670CDEA9}"/>
                </c:ext>
              </c:extLst>
            </c:dLbl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'План продаж'!$A$52:$A$56</c:f>
              <c:strCache>
                <c:ptCount val="5"/>
                <c:pt idx="0">
                  <c:v>Проживание</c:v>
                </c:pt>
                <c:pt idx="1">
                  <c:v>Питание</c:v>
                </c:pt>
                <c:pt idx="2">
                  <c:v>Банный комплекс</c:v>
                </c:pt>
                <c:pt idx="3">
                  <c:v>Прокат спортивного инвентаря</c:v>
                </c:pt>
                <c:pt idx="4">
                  <c:v>Барбекю-парк</c:v>
                </c:pt>
              </c:strCache>
            </c:strRef>
          </c:cat>
          <c:val>
            <c:numRef>
              <c:f>'План продаж'!$J$52:$J$56</c:f>
              <c:numCache>
                <c:formatCode>#,##0</c:formatCode>
                <c:ptCount val="5"/>
                <c:pt idx="0">
                  <c:v>321606.87290195591</c:v>
                </c:pt>
                <c:pt idx="1">
                  <c:v>99071.803973784321</c:v>
                </c:pt>
                <c:pt idx="2">
                  <c:v>35382.787133494407</c:v>
                </c:pt>
                <c:pt idx="3">
                  <c:v>5661.2459413591041</c:v>
                </c:pt>
                <c:pt idx="4">
                  <c:v>17691.393566747203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CD9-40A9-99C0-D8CAAA25F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4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5220953529300717"/>
          <c:y val="0.37542575620670365"/>
          <c:w val="0.47790464706992825"/>
          <c:h val="0.3540178994019190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Прогноз выручки по месяцам, тыс. руб.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5614260453092908E-2"/>
          <c:y val="0.15381114903299203"/>
          <c:w val="0.89298315453016708"/>
          <c:h val="0.6685707631255990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'План продаж'!$C$9:$BX$9</c:f>
              <c:numCache>
                <c:formatCode>[$-419]mmmm;@</c:formatCode>
                <c:ptCount val="74"/>
                <c:pt idx="0">
                  <c:v>44106</c:v>
                </c:pt>
                <c:pt idx="1">
                  <c:v>44137</c:v>
                </c:pt>
                <c:pt idx="2">
                  <c:v>44167</c:v>
                </c:pt>
                <c:pt idx="3">
                  <c:v>44198</c:v>
                </c:pt>
                <c:pt idx="4">
                  <c:v>44229</c:v>
                </c:pt>
                <c:pt idx="5">
                  <c:v>44257</c:v>
                </c:pt>
                <c:pt idx="6">
                  <c:v>44288</c:v>
                </c:pt>
                <c:pt idx="7">
                  <c:v>44318</c:v>
                </c:pt>
                <c:pt idx="8">
                  <c:v>44349</c:v>
                </c:pt>
                <c:pt idx="9">
                  <c:v>44379</c:v>
                </c:pt>
                <c:pt idx="10">
                  <c:v>44410</c:v>
                </c:pt>
                <c:pt idx="11">
                  <c:v>44441</c:v>
                </c:pt>
                <c:pt idx="12">
                  <c:v>44471</c:v>
                </c:pt>
                <c:pt idx="13">
                  <c:v>44502</c:v>
                </c:pt>
                <c:pt idx="14">
                  <c:v>44532</c:v>
                </c:pt>
                <c:pt idx="15">
                  <c:v>44563</c:v>
                </c:pt>
                <c:pt idx="16">
                  <c:v>44594</c:v>
                </c:pt>
                <c:pt idx="17">
                  <c:v>44622</c:v>
                </c:pt>
                <c:pt idx="18">
                  <c:v>44653</c:v>
                </c:pt>
                <c:pt idx="19">
                  <c:v>44683</c:v>
                </c:pt>
                <c:pt idx="20">
                  <c:v>44714</c:v>
                </c:pt>
                <c:pt idx="21">
                  <c:v>44744</c:v>
                </c:pt>
                <c:pt idx="22">
                  <c:v>44775</c:v>
                </c:pt>
                <c:pt idx="23">
                  <c:v>44806</c:v>
                </c:pt>
                <c:pt idx="24">
                  <c:v>44836</c:v>
                </c:pt>
                <c:pt idx="25">
                  <c:v>44867</c:v>
                </c:pt>
                <c:pt idx="26">
                  <c:v>44897</c:v>
                </c:pt>
                <c:pt idx="27">
                  <c:v>44928</c:v>
                </c:pt>
                <c:pt idx="28">
                  <c:v>44959</c:v>
                </c:pt>
                <c:pt idx="29">
                  <c:v>44987</c:v>
                </c:pt>
                <c:pt idx="30">
                  <c:v>45018</c:v>
                </c:pt>
                <c:pt idx="31">
                  <c:v>45048</c:v>
                </c:pt>
                <c:pt idx="32">
                  <c:v>45079</c:v>
                </c:pt>
                <c:pt idx="33">
                  <c:v>45109</c:v>
                </c:pt>
                <c:pt idx="34">
                  <c:v>45140</c:v>
                </c:pt>
                <c:pt idx="35">
                  <c:v>45171</c:v>
                </c:pt>
                <c:pt idx="36">
                  <c:v>45201</c:v>
                </c:pt>
                <c:pt idx="37">
                  <c:v>45232</c:v>
                </c:pt>
                <c:pt idx="38">
                  <c:v>45262</c:v>
                </c:pt>
                <c:pt idx="39">
                  <c:v>45293</c:v>
                </c:pt>
                <c:pt idx="40">
                  <c:v>45324</c:v>
                </c:pt>
                <c:pt idx="41">
                  <c:v>45353</c:v>
                </c:pt>
                <c:pt idx="42">
                  <c:v>45384</c:v>
                </c:pt>
                <c:pt idx="43">
                  <c:v>45414</c:v>
                </c:pt>
                <c:pt idx="44">
                  <c:v>45445</c:v>
                </c:pt>
                <c:pt idx="45">
                  <c:v>45475</c:v>
                </c:pt>
                <c:pt idx="46">
                  <c:v>45506</c:v>
                </c:pt>
                <c:pt idx="47">
                  <c:v>45537</c:v>
                </c:pt>
                <c:pt idx="48">
                  <c:v>45567</c:v>
                </c:pt>
                <c:pt idx="49">
                  <c:v>45598</c:v>
                </c:pt>
                <c:pt idx="50">
                  <c:v>45628</c:v>
                </c:pt>
                <c:pt idx="51">
                  <c:v>45659</c:v>
                </c:pt>
                <c:pt idx="52">
                  <c:v>45690</c:v>
                </c:pt>
                <c:pt idx="53">
                  <c:v>45718</c:v>
                </c:pt>
                <c:pt idx="54">
                  <c:v>45749</c:v>
                </c:pt>
                <c:pt idx="55">
                  <c:v>45779</c:v>
                </c:pt>
                <c:pt idx="56">
                  <c:v>45810</c:v>
                </c:pt>
                <c:pt idx="57">
                  <c:v>45840</c:v>
                </c:pt>
                <c:pt idx="58">
                  <c:v>45871</c:v>
                </c:pt>
                <c:pt idx="59">
                  <c:v>45902</c:v>
                </c:pt>
                <c:pt idx="60">
                  <c:v>45932</c:v>
                </c:pt>
                <c:pt idx="61">
                  <c:v>45963</c:v>
                </c:pt>
                <c:pt idx="62">
                  <c:v>45993</c:v>
                </c:pt>
                <c:pt idx="63">
                  <c:v>46024</c:v>
                </c:pt>
                <c:pt idx="64">
                  <c:v>46055</c:v>
                </c:pt>
                <c:pt idx="65">
                  <c:v>46083</c:v>
                </c:pt>
                <c:pt idx="66">
                  <c:v>46114</c:v>
                </c:pt>
                <c:pt idx="67">
                  <c:v>46144</c:v>
                </c:pt>
                <c:pt idx="68">
                  <c:v>46175</c:v>
                </c:pt>
                <c:pt idx="69">
                  <c:v>46205</c:v>
                </c:pt>
                <c:pt idx="70">
                  <c:v>46236</c:v>
                </c:pt>
                <c:pt idx="71">
                  <c:v>46267</c:v>
                </c:pt>
                <c:pt idx="72">
                  <c:v>46297</c:v>
                </c:pt>
                <c:pt idx="73">
                  <c:v>46328</c:v>
                </c:pt>
              </c:numCache>
            </c:numRef>
          </c:cat>
          <c:val>
            <c:numRef>
              <c:f>'План продаж'!$C$27:$BY$27</c:f>
              <c:numCache>
                <c:formatCode>#,##0</c:formatCode>
                <c:ptCount val="7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5090.7991679999996</c:v>
                </c:pt>
                <c:pt idx="10">
                  <c:v>5199.887721600001</c:v>
                </c:pt>
                <c:pt idx="11">
                  <c:v>4222.7827200000011</c:v>
                </c:pt>
                <c:pt idx="12">
                  <c:v>3869.6762832000004</c:v>
                </c:pt>
                <c:pt idx="13">
                  <c:v>2733.1274880000001</c:v>
                </c:pt>
                <c:pt idx="14">
                  <c:v>7908.9201360000025</c:v>
                </c:pt>
                <c:pt idx="15">
                  <c:v>4171.1036989440017</c:v>
                </c:pt>
                <c:pt idx="16">
                  <c:v>3221.4462658560014</c:v>
                </c:pt>
                <c:pt idx="17">
                  <c:v>4692.4916613120031</c:v>
                </c:pt>
                <c:pt idx="18">
                  <c:v>3857.6142259200019</c:v>
                </c:pt>
                <c:pt idx="19">
                  <c:v>7563.4730496000047</c:v>
                </c:pt>
                <c:pt idx="20">
                  <c:v>8783.388057600001</c:v>
                </c:pt>
                <c:pt idx="21">
                  <c:v>10588.862269440002</c:v>
                </c:pt>
                <c:pt idx="22">
                  <c:v>9832.5149644800022</c:v>
                </c:pt>
                <c:pt idx="23">
                  <c:v>7319.4900480000006</c:v>
                </c:pt>
                <c:pt idx="24">
                  <c:v>6191.4820531200003</c:v>
                </c:pt>
                <c:pt idx="25">
                  <c:v>4060.6465536000001</c:v>
                </c:pt>
                <c:pt idx="26">
                  <c:v>10967.035921920002</c:v>
                </c:pt>
                <c:pt idx="27">
                  <c:v>5422.4348086272003</c:v>
                </c:pt>
                <c:pt idx="28">
                  <c:v>3941.5342546943998</c:v>
                </c:pt>
                <c:pt idx="29">
                  <c:v>5422.4348086272003</c:v>
                </c:pt>
                <c:pt idx="30">
                  <c:v>4223.072415744</c:v>
                </c:pt>
                <c:pt idx="31">
                  <c:v>7866.011971584001</c:v>
                </c:pt>
                <c:pt idx="32">
                  <c:v>9134.7235799040027</c:v>
                </c:pt>
                <c:pt idx="33">
                  <c:v>11012.4167602176</c:v>
                </c:pt>
                <c:pt idx="34">
                  <c:v>10225.815563059201</c:v>
                </c:pt>
                <c:pt idx="35">
                  <c:v>7612.269649920001</c:v>
                </c:pt>
                <c:pt idx="36">
                  <c:v>6439.1413352447998</c:v>
                </c:pt>
                <c:pt idx="37">
                  <c:v>4223.072415744</c:v>
                </c:pt>
                <c:pt idx="38">
                  <c:v>11405.717358796801</c:v>
                </c:pt>
                <c:pt idx="39">
                  <c:v>5639.3322009722897</c:v>
                </c:pt>
                <c:pt idx="40">
                  <c:v>4099.1956248821771</c:v>
                </c:pt>
                <c:pt idx="41">
                  <c:v>5639.3322009722897</c:v>
                </c:pt>
                <c:pt idx="42">
                  <c:v>4391.9953123737596</c:v>
                </c:pt>
                <c:pt idx="43">
                  <c:v>8180.6524504473618</c:v>
                </c:pt>
                <c:pt idx="44">
                  <c:v>9500.1125231001624</c:v>
                </c:pt>
                <c:pt idx="45">
                  <c:v>11452.913430626306</c:v>
                </c:pt>
                <c:pt idx="46">
                  <c:v>10634.848185581572</c:v>
                </c:pt>
                <c:pt idx="47">
                  <c:v>7916.7604359168008</c:v>
                </c:pt>
                <c:pt idx="48">
                  <c:v>6696.7069886545933</c:v>
                </c:pt>
                <c:pt idx="49">
                  <c:v>4391.9953123737596</c:v>
                </c:pt>
                <c:pt idx="50">
                  <c:v>11861.946053148673</c:v>
                </c:pt>
                <c:pt idx="51">
                  <c:v>5864.905489011182</c:v>
                </c:pt>
                <c:pt idx="52">
                  <c:v>4263.1634498774638</c:v>
                </c:pt>
                <c:pt idx="53">
                  <c:v>5864.905489011182</c:v>
                </c:pt>
                <c:pt idx="54">
                  <c:v>4567.6751248687106</c:v>
                </c:pt>
                <c:pt idx="55">
                  <c:v>8507.8785484652562</c:v>
                </c:pt>
                <c:pt idx="56">
                  <c:v>9880.1170240241681</c:v>
                </c:pt>
                <c:pt idx="57">
                  <c:v>11911.029967851358</c:v>
                </c:pt>
                <c:pt idx="58">
                  <c:v>11060.242113004835</c:v>
                </c:pt>
                <c:pt idx="59">
                  <c:v>8233.430853353475</c:v>
                </c:pt>
                <c:pt idx="60">
                  <c:v>6964.575268200776</c:v>
                </c:pt>
                <c:pt idx="61">
                  <c:v>4567.6751248687106</c:v>
                </c:pt>
                <c:pt idx="62">
                  <c:v>12336.423895274622</c:v>
                </c:pt>
                <c:pt idx="63">
                  <c:v>6099.501708571629</c:v>
                </c:pt>
                <c:pt idx="64">
                  <c:v>4433.6899878725626</c:v>
                </c:pt>
                <c:pt idx="65">
                  <c:v>6099.501708571629</c:v>
                </c:pt>
                <c:pt idx="66">
                  <c:v>4750.3821298634593</c:v>
                </c:pt>
                <c:pt idx="67">
                  <c:v>8848.1936904038648</c:v>
                </c:pt>
                <c:pt idx="68">
                  <c:v>10275.321704985137</c:v>
                </c:pt>
                <c:pt idx="69">
                  <c:v>12387.471166565414</c:v>
                </c:pt>
                <c:pt idx="70">
                  <c:v>11502.65179752503</c:v>
                </c:pt>
                <c:pt idx="71">
                  <c:v>8562.768087487615</c:v>
                </c:pt>
                <c:pt idx="72">
                  <c:v>7243.1582789288077</c:v>
                </c:pt>
                <c:pt idx="73">
                  <c:v>4750.3821298634593</c:v>
                </c:pt>
                <c:pt idx="74">
                  <c:v>12829.880851085607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FD-41AD-8AB4-ED27D6FBB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117504"/>
        <c:axId val="44444480"/>
      </c:barChart>
      <c:dateAx>
        <c:axId val="44117504"/>
        <c:scaling>
          <c:orientation val="minMax"/>
        </c:scaling>
        <c:delete val="0"/>
        <c:axPos val="b"/>
        <c:numFmt formatCode="[$-419]mmmm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44444480"/>
        <c:crosses val="autoZero"/>
        <c:auto val="1"/>
        <c:lblOffset val="100"/>
        <c:baseTimeUnit val="months"/>
        <c:minorUnit val="1"/>
      </c:dateAx>
      <c:valAx>
        <c:axId val="4444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4411750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Структура выручки,%</a:t>
            </a:r>
          </a:p>
        </c:rich>
      </c:tx>
      <c:layout>
        <c:manualLayout>
          <c:xMode val="edge"/>
          <c:yMode val="edge"/>
          <c:x val="0.31831754833462717"/>
          <c:y val="2.0369175164579837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1332492951142133E-2"/>
          <c:y val="0.13661202185792351"/>
          <c:w val="0.488785769528229"/>
          <c:h val="0.86338797814207657"/>
        </c:manualLayout>
      </c:layout>
      <c:doughnut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39A-43DC-8105-17C39937B69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39A-43DC-8105-17C39937B698}"/>
              </c:ext>
            </c:extLst>
          </c:dPt>
          <c:dLbls>
            <c:dLbl>
              <c:idx val="1"/>
              <c:layout>
                <c:manualLayout>
                  <c:x val="-1.2941398566478501E-2"/>
                  <c:y val="2.18579234972678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9A-43DC-8105-17C39937B698}"/>
                </c:ext>
              </c:extLst>
            </c:dLbl>
            <c:dLbl>
              <c:idx val="2"/>
              <c:layout>
                <c:manualLayout>
                  <c:x val="-4.9748677007021437E-2"/>
                  <c:y val="2.7322404371584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9A-43DC-8105-17C39937B698}"/>
                </c:ext>
              </c:extLst>
            </c:dLbl>
            <c:dLbl>
              <c:idx val="3"/>
              <c:layout>
                <c:manualLayout>
                  <c:x val="-2.7906778474036453E-2"/>
                  <c:y val="-4.371584699453551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39A-43DC-8105-17C39937B698}"/>
                </c:ext>
              </c:extLst>
            </c:dLbl>
            <c:dLbl>
              <c:idx val="4"/>
              <c:layout>
                <c:manualLayout>
                  <c:x val="3.0935808197989172E-2"/>
                  <c:y val="-4.918032786885247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39A-43DC-8105-17C39937B698}"/>
                </c:ext>
              </c:extLst>
            </c:dLbl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'План продаж'!$A$59:$A$60</c:f>
              <c:strCache>
                <c:ptCount val="2"/>
                <c:pt idx="0">
                  <c:v>Основные услуги (проживание и питание)</c:v>
                </c:pt>
                <c:pt idx="1">
                  <c:v>Дополнительные услуги</c:v>
                </c:pt>
              </c:strCache>
            </c:strRef>
          </c:cat>
          <c:val>
            <c:numRef>
              <c:f>'План продаж'!$J$59:$J$60</c:f>
              <c:numCache>
                <c:formatCode>#,##0</c:formatCode>
                <c:ptCount val="2"/>
                <c:pt idx="0">
                  <c:v>420678.67687574023</c:v>
                </c:pt>
                <c:pt idx="1">
                  <c:v>58735.426641600672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639A-43DC-8105-17C39937B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4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57468622686665327"/>
          <c:y val="0.38635471795533755"/>
          <c:w val="0.39747154575515653"/>
          <c:h val="0.34308893765328513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Прогноз посещаемости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Количество проданных ночей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pattFill prst="pct80">
                <a:fgClr>
                  <a:schemeClr val="tx1">
                    <a:lumMod val="75000"/>
                    <a:lumOff val="25000"/>
                  </a:schemeClr>
                </a:fgClr>
                <a:bgClr>
                  <a:schemeClr val="bg1">
                    <a:lumMod val="50000"/>
                  </a:schemeClr>
                </a:bgClr>
              </a:patt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'План продаж'!$C$36:$I$36</c:f>
              <c:numCache>
                <c:formatCode>0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'План продаж'!$C$38:$I$38</c:f>
              <c:numCache>
                <c:formatCode>#,##0</c:formatCode>
                <c:ptCount val="7"/>
                <c:pt idx="0">
                  <c:v>0</c:v>
                </c:pt>
                <c:pt idx="1">
                  <c:v>4037.9040000000005</c:v>
                </c:pt>
                <c:pt idx="2">
                  <c:v>11071.944000000003</c:v>
                </c:pt>
                <c:pt idx="3">
                  <c:v>11428.560000000001</c:v>
                </c:pt>
                <c:pt idx="4">
                  <c:v>11428.560000000001</c:v>
                </c:pt>
                <c:pt idx="5">
                  <c:v>11428.560000000001</c:v>
                </c:pt>
                <c:pt idx="6">
                  <c:v>11428.560000000001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FC-4404-A6A3-E995D1E7D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25"/>
        <c:axId val="45020160"/>
        <c:axId val="44446208"/>
      </c:barChart>
      <c:lineChart>
        <c:grouping val="stacked"/>
        <c:varyColors val="0"/>
        <c:ser>
          <c:idx val="1"/>
          <c:order val="1"/>
          <c:tx>
            <c:v>Среднедневная посещаемость, чел.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circle"/>
            <c:size val="24"/>
            <c:spPr>
              <a:solidFill>
                <a:schemeClr val="accent2"/>
              </a:solidFill>
              <a:ln w="6350" cap="flat" cmpd="sng" algn="ctr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'План продаж'!$C$36:$I$36</c:f>
              <c:numCache>
                <c:formatCode>0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'План продаж'!$C$43:$I$43</c:f>
              <c:numCache>
                <c:formatCode>#,##0</c:formatCode>
                <c:ptCount val="7"/>
                <c:pt idx="0">
                  <c:v>0</c:v>
                </c:pt>
                <c:pt idx="1">
                  <c:v>22.125501369863017</c:v>
                </c:pt>
                <c:pt idx="2">
                  <c:v>60.668186301369879</c:v>
                </c:pt>
                <c:pt idx="3">
                  <c:v>62.622246575342473</c:v>
                </c:pt>
                <c:pt idx="4">
                  <c:v>62.622246575342473</c:v>
                </c:pt>
                <c:pt idx="5">
                  <c:v>62.622246575342473</c:v>
                </c:pt>
                <c:pt idx="6">
                  <c:v>62.622246575342473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9FC-4404-A6A3-E995D1E7D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20672"/>
        <c:axId val="44449088"/>
      </c:lineChart>
      <c:catAx>
        <c:axId val="4502016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44446208"/>
        <c:crosses val="autoZero"/>
        <c:auto val="1"/>
        <c:lblAlgn val="ctr"/>
        <c:lblOffset val="100"/>
        <c:noMultiLvlLbl val="0"/>
      </c:catAx>
      <c:valAx>
        <c:axId val="44446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45020160"/>
        <c:crosses val="autoZero"/>
        <c:crossBetween val="between"/>
      </c:valAx>
      <c:valAx>
        <c:axId val="44449088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45020672"/>
        <c:crosses val="max"/>
        <c:crossBetween val="between"/>
      </c:valAx>
      <c:catAx>
        <c:axId val="4502067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44449088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Структура себестоимости по проекту,%</a:t>
            </a:r>
          </a:p>
        </c:rich>
      </c:tx>
      <c:layout>
        <c:manualLayout>
          <c:xMode val="edge"/>
          <c:yMode val="edge"/>
          <c:x val="0.25988455626313645"/>
          <c:y val="2.0371492025035333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5555555555555558E-3"/>
          <c:y val="0.13677730668281848"/>
          <c:w val="0.4361878470370486"/>
          <c:h val="0.84217807389460919"/>
        </c:manualLayout>
      </c:layout>
      <c:doughnut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3AF-4007-A53C-CD6859A62BF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3AF-4007-A53C-CD6859A62BF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D0E-4014-B6EA-06049493B98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3AF-4007-A53C-CD6859A62BF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4D0E-4014-B6EA-06049493B98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B4F-4768-85DD-C03C930F7B6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B4F-4768-85DD-C03C930F7B65}"/>
              </c:ext>
            </c:extLst>
          </c:dPt>
          <c:dLbls>
            <c:dLbl>
              <c:idx val="0"/>
              <c:layout>
                <c:manualLayout>
                  <c:x val="2.7029728853614366E-2"/>
                  <c:y val="-1.971044683786225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AF-4007-A53C-CD6859A62BF6}"/>
                </c:ext>
              </c:extLst>
            </c:dLbl>
            <c:dLbl>
              <c:idx val="1"/>
              <c:layout>
                <c:manualLayout>
                  <c:x val="-2.4657067268981821E-2"/>
                  <c:y val="1.17047986490022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AF-4007-A53C-CD6859A62BF6}"/>
                </c:ext>
              </c:extLst>
            </c:dLbl>
            <c:dLbl>
              <c:idx val="2"/>
              <c:layout>
                <c:manualLayout>
                  <c:x val="-3.1872509960159362E-2"/>
                  <c:y val="1.920116391196195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E-4014-B6EA-06049493B985}"/>
                </c:ext>
              </c:extLst>
            </c:dLbl>
            <c:dLbl>
              <c:idx val="3"/>
              <c:layout>
                <c:manualLayout>
                  <c:x val="-2.6406918258723634E-2"/>
                  <c:y val="-5.484845559749505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AF-4007-A53C-CD6859A62BF6}"/>
                </c:ext>
              </c:extLst>
            </c:dLbl>
            <c:dLbl>
              <c:idx val="4"/>
              <c:layout>
                <c:manualLayout>
                  <c:x val="2.6560424966799467E-3"/>
                  <c:y val="-3.791471080827994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D0E-4014-B6EA-06049493B985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Расходы!$A$39:$A$45</c:f>
              <c:strCache>
                <c:ptCount val="7"/>
                <c:pt idx="0">
                  <c:v>Амортизация</c:v>
                </c:pt>
                <c:pt idx="1">
                  <c:v>Затраты на персонал</c:v>
                </c:pt>
                <c:pt idx="2">
                  <c:v>Коммерческие расходы</c:v>
                </c:pt>
                <c:pt idx="3">
                  <c:v>Коммунальные платежи</c:v>
                </c:pt>
                <c:pt idx="4">
                  <c:v>Материальные расходы</c:v>
                </c:pt>
                <c:pt idx="5">
                  <c:v>Ремонт и содержание имущества</c:v>
                </c:pt>
                <c:pt idx="6">
                  <c:v>Прочие расходы</c:v>
                </c:pt>
              </c:strCache>
            </c:strRef>
          </c:cat>
          <c:val>
            <c:numRef>
              <c:f>Расходы!$I$39:$I$45</c:f>
              <c:numCache>
                <c:formatCode>#,##0</c:formatCode>
                <c:ptCount val="7"/>
                <c:pt idx="0">
                  <c:v>42513.428444754281</c:v>
                </c:pt>
                <c:pt idx="1">
                  <c:v>81617.441357074276</c:v>
                </c:pt>
                <c:pt idx="2">
                  <c:v>26356.481263898753</c:v>
                </c:pt>
                <c:pt idx="3">
                  <c:v>22977.907486132892</c:v>
                </c:pt>
                <c:pt idx="4">
                  <c:v>31254.795301253391</c:v>
                </c:pt>
                <c:pt idx="5">
                  <c:v>11817.436058436455</c:v>
                </c:pt>
                <c:pt idx="6">
                  <c:v>33503.916349636551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3AF-4007-A53C-CD6859A62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7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50965210026037577"/>
          <c:y val="0.25803814153436888"/>
          <c:w val="0.43067059844611055"/>
          <c:h val="0.53002625801795233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Структура рекламного бюджета, %</a:t>
            </a:r>
          </a:p>
        </c:rich>
      </c:tx>
      <c:layout>
        <c:manualLayout>
          <c:xMode val="edge"/>
          <c:yMode val="edge"/>
          <c:x val="0.22004391881293722"/>
          <c:y val="2.0372729893124073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9459903169474333E-2"/>
          <c:y val="0.15111643613446452"/>
          <c:w val="0.4361878470370486"/>
          <c:h val="0.84217807389460919"/>
        </c:manualLayout>
      </c:layout>
      <c:doughnut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28-4FC0-A92D-F483C74C1875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28-4FC0-A92D-F483C74C1875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328-4FC0-A92D-F483C74C187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328-4FC0-A92D-F483C74C1875}"/>
              </c:ext>
            </c:extLst>
          </c:dPt>
          <c:dLbls>
            <c:dLbl>
              <c:idx val="0"/>
              <c:layout>
                <c:manualLayout>
                  <c:x val="2.7029728853614366E-2"/>
                  <c:y val="-1.971044683786225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28-4FC0-A92D-F483C74C1875}"/>
                </c:ext>
              </c:extLst>
            </c:dLbl>
            <c:dLbl>
              <c:idx val="1"/>
              <c:layout>
                <c:manualLayout>
                  <c:x val="-2.4657067268981821E-2"/>
                  <c:y val="1.17047986490022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28-4FC0-A92D-F483C74C1875}"/>
                </c:ext>
              </c:extLst>
            </c:dLbl>
            <c:dLbl>
              <c:idx val="2"/>
              <c:layout>
                <c:manualLayout>
                  <c:x val="-3.1872509960159362E-2"/>
                  <c:y val="1.920116391196195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28-4FC0-A92D-F483C74C1875}"/>
                </c:ext>
              </c:extLst>
            </c:dLbl>
            <c:dLbl>
              <c:idx val="3"/>
              <c:layout>
                <c:manualLayout>
                  <c:x val="-2.6406918258723634E-2"/>
                  <c:y val="-5.484845559749505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28-4FC0-A92D-F483C74C1875}"/>
                </c:ext>
              </c:extLst>
            </c:dLbl>
            <c:dLbl>
              <c:idx val="4"/>
              <c:layout>
                <c:manualLayout>
                  <c:x val="2.6560424966799467E-3"/>
                  <c:y val="-3.791471080827994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28-4FC0-A92D-F483C74C1875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Расходы!$A$80:$A$83</c:f>
              <c:strCache>
                <c:ptCount val="4"/>
                <c:pt idx="0">
                  <c:v>Наружная и печатная реклама</c:v>
                </c:pt>
                <c:pt idx="1">
                  <c:v>Услуги сервисов бронирования</c:v>
                </c:pt>
                <c:pt idx="2">
                  <c:v>Услуги турагентств</c:v>
                </c:pt>
                <c:pt idx="3">
                  <c:v>Контекстная реклама и таргетинг</c:v>
                </c:pt>
              </c:strCache>
            </c:strRef>
          </c:cat>
          <c:val>
            <c:numRef>
              <c:f>Расходы!$I$80:$I$83</c:f>
              <c:numCache>
                <c:formatCode>#,##0</c:formatCode>
                <c:ptCount val="4"/>
                <c:pt idx="0">
                  <c:v>2296.1860131225603</c:v>
                </c:pt>
                <c:pt idx="1">
                  <c:v>8491.8689120386571</c:v>
                </c:pt>
                <c:pt idx="2">
                  <c:v>8491.8689120386571</c:v>
                </c:pt>
                <c:pt idx="3">
                  <c:v>7076.5574266988806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2328-4FC0-A92D-F483C74C1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7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50965210026037577"/>
          <c:y val="0.46353416816119369"/>
          <c:w val="0.49034789973962417"/>
          <c:h val="0.32453036229140908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ru-RU"/>
              <a:t>Динамика прибыли и рентабельности, тыс. руб.</a:t>
            </a:r>
          </a:p>
        </c:rich>
      </c:tx>
      <c:layout>
        <c:manualLayout>
          <c:xMode val="edge"/>
          <c:yMode val="edge"/>
          <c:x val="0.18259082479554922"/>
          <c:y val="1.5741230880673108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2675415573053366E-2"/>
          <c:y val="0.1244009124681557"/>
          <c:w val="0.80288704781467535"/>
          <c:h val="0.681683295812146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ОФР!$A$42</c:f>
              <c:strCache>
                <c:ptCount val="1"/>
                <c:pt idx="0">
                  <c:v>Чистая прибыль (убыток)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64832466144291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3C-43E3-B6C3-67C88023AD97}"/>
                </c:ext>
              </c:extLst>
            </c:dLbl>
            <c:spPr>
              <a:blipFill dpi="0" rotWithShape="0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25400"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ОФР!$B$32:$H$32</c:f>
              <c:numCache>
                <c:formatCode>0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ОФР!$B$42:$H$42</c:f>
              <c:numCache>
                <c:formatCode>#,##0</c:formatCode>
                <c:ptCount val="7"/>
                <c:pt idx="0">
                  <c:v>-371.37299999999999</c:v>
                </c:pt>
                <c:pt idx="1">
                  <c:v>8568.5567508967124</c:v>
                </c:pt>
                <c:pt idx="2">
                  <c:v>31323.10537435106</c:v>
                </c:pt>
                <c:pt idx="3">
                  <c:v>37931.558945007113</c:v>
                </c:pt>
                <c:pt idx="4">
                  <c:v>40361.278654951791</c:v>
                </c:pt>
                <c:pt idx="5">
                  <c:v>42797.779496247727</c:v>
                </c:pt>
                <c:pt idx="6">
                  <c:v>45195.111900682343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F3C-43E3-B6C3-67C88023A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axId val="45672960"/>
        <c:axId val="45158912"/>
      </c:barChart>
      <c:lineChart>
        <c:grouping val="standard"/>
        <c:varyColors val="0"/>
        <c:ser>
          <c:idx val="2"/>
          <c:order val="1"/>
          <c:tx>
            <c:strRef>
              <c:f>ОФР!$A$44</c:f>
              <c:strCache>
                <c:ptCount val="1"/>
                <c:pt idx="0">
                  <c:v>Чистая рентабельность, %</c:v>
                </c:pt>
              </c:strCache>
            </c:strRef>
          </c:tx>
          <c:spPr>
            <a:ln w="1905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circle"/>
            <c:size val="30"/>
            <c:spPr>
              <a:solidFill>
                <a:schemeClr val="accent3"/>
              </a:solidFill>
              <a:ln w="6350" cap="flat" cmpd="sng" algn="ctr">
                <a:solidFill>
                  <a:schemeClr val="accent3"/>
                </a:solidFill>
                <a:prstDash val="solid"/>
                <a:round/>
              </a:ln>
              <a:effectLst/>
            </c:spPr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ОФР!$B$32:$H$32</c:f>
              <c:numCache>
                <c:formatCode>0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ОФР!$B$44:$H$44</c:f>
              <c:numCache>
                <c:formatCode>0%</c:formatCode>
                <c:ptCount val="7"/>
                <c:pt idx="0" formatCode="0.0%">
                  <c:v>0</c:v>
                </c:pt>
                <c:pt idx="1">
                  <c:v>0.29521101197610156</c:v>
                </c:pt>
                <c:pt idx="2">
                  <c:v>0.38551728407871177</c:v>
                </c:pt>
                <c:pt idx="3">
                  <c:v>0.4363528153345933</c:v>
                </c:pt>
                <c:pt idx="4">
                  <c:v>0.44644572359729512</c:v>
                </c:pt>
                <c:pt idx="5">
                  <c:v>0.45518888476922659</c:v>
                </c:pt>
                <c:pt idx="6">
                  <c:v>0.46219850712509297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F3C-43E3-B6C3-67C88023A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63840"/>
        <c:axId val="45159488"/>
      </c:lineChart>
      <c:catAx>
        <c:axId val="456729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5158912"/>
        <c:crosses val="autoZero"/>
        <c:auto val="1"/>
        <c:lblAlgn val="ctr"/>
        <c:lblOffset val="0"/>
        <c:noMultiLvlLbl val="0"/>
      </c:catAx>
      <c:valAx>
        <c:axId val="4515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5672960"/>
        <c:crosses val="autoZero"/>
        <c:crossBetween val="between"/>
      </c:valAx>
      <c:catAx>
        <c:axId val="4656384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45159488"/>
        <c:crosses val="autoZero"/>
        <c:auto val="1"/>
        <c:lblAlgn val="ctr"/>
        <c:lblOffset val="100"/>
        <c:noMultiLvlLbl val="0"/>
      </c:catAx>
      <c:valAx>
        <c:axId val="45159488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6563840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5.3259214393072664E-2"/>
          <c:y val="0.93358851817699351"/>
          <c:w val="0.88770244745047899"/>
          <c:h val="5.766801462069171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2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ru-RU"/>
              <a:t>Динамика выручки и чистой прибыли по месяцам, тыс. руб.</a:t>
            </a:r>
          </a:p>
        </c:rich>
      </c:tx>
      <c:layout>
        <c:manualLayout>
          <c:xMode val="edge"/>
          <c:yMode val="edge"/>
          <c:x val="0.20900582549132579"/>
          <c:y val="2.1232800445398861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4695606527444937E-2"/>
          <c:y val="0.12871577866355569"/>
          <c:w val="0.88012275142436469"/>
          <c:h val="0.696507754712479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ОФР!$A$10</c:f>
              <c:strCache>
                <c:ptCount val="1"/>
                <c:pt idx="0">
                  <c:v>Выручка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ОФР!$B$8:$BW$8</c:f>
              <c:numCache>
                <c:formatCode>0</c:formatCode>
                <c:ptCount val="74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2021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2022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2023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2024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2025</c:v>
                </c:pt>
                <c:pt idx="52">
                  <c:v>2025</c:v>
                </c:pt>
                <c:pt idx="53">
                  <c:v>2025</c:v>
                </c:pt>
                <c:pt idx="54">
                  <c:v>2025</c:v>
                </c:pt>
                <c:pt idx="55">
                  <c:v>2025</c:v>
                </c:pt>
                <c:pt idx="56">
                  <c:v>2025</c:v>
                </c:pt>
                <c:pt idx="57">
                  <c:v>2025</c:v>
                </c:pt>
                <c:pt idx="58">
                  <c:v>2025</c:v>
                </c:pt>
                <c:pt idx="59">
                  <c:v>2025</c:v>
                </c:pt>
                <c:pt idx="60">
                  <c:v>2025</c:v>
                </c:pt>
                <c:pt idx="61">
                  <c:v>2025</c:v>
                </c:pt>
                <c:pt idx="62">
                  <c:v>2025</c:v>
                </c:pt>
                <c:pt idx="63">
                  <c:v>2026</c:v>
                </c:pt>
                <c:pt idx="64">
                  <c:v>2026</c:v>
                </c:pt>
                <c:pt idx="65">
                  <c:v>2026</c:v>
                </c:pt>
                <c:pt idx="66">
                  <c:v>2026</c:v>
                </c:pt>
                <c:pt idx="67">
                  <c:v>2026</c:v>
                </c:pt>
                <c:pt idx="68">
                  <c:v>2026</c:v>
                </c:pt>
                <c:pt idx="69">
                  <c:v>2026</c:v>
                </c:pt>
                <c:pt idx="70">
                  <c:v>2026</c:v>
                </c:pt>
                <c:pt idx="71">
                  <c:v>2026</c:v>
                </c:pt>
                <c:pt idx="72">
                  <c:v>2026</c:v>
                </c:pt>
                <c:pt idx="73">
                  <c:v>2026</c:v>
                </c:pt>
              </c:numCache>
            </c:numRef>
          </c:cat>
          <c:val>
            <c:numRef>
              <c:f>ОФР!$B$10:$BW$10</c:f>
              <c:numCache>
                <c:formatCode>#,##0</c:formatCode>
                <c:ptCount val="7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5090.7991679999996</c:v>
                </c:pt>
                <c:pt idx="10">
                  <c:v>5199.887721600001</c:v>
                </c:pt>
                <c:pt idx="11">
                  <c:v>4222.7827200000011</c:v>
                </c:pt>
                <c:pt idx="12">
                  <c:v>3869.6762832000004</c:v>
                </c:pt>
                <c:pt idx="13">
                  <c:v>2733.1274880000001</c:v>
                </c:pt>
                <c:pt idx="14">
                  <c:v>7908.9201360000025</c:v>
                </c:pt>
                <c:pt idx="15">
                  <c:v>4171.1036989440017</c:v>
                </c:pt>
                <c:pt idx="16">
                  <c:v>3221.4462658560014</c:v>
                </c:pt>
                <c:pt idx="17">
                  <c:v>4692.4916613120031</c:v>
                </c:pt>
                <c:pt idx="18">
                  <c:v>3857.6142259200019</c:v>
                </c:pt>
                <c:pt idx="19">
                  <c:v>7563.4730496000047</c:v>
                </c:pt>
                <c:pt idx="20">
                  <c:v>8783.388057600001</c:v>
                </c:pt>
                <c:pt idx="21">
                  <c:v>10588.862269440002</c:v>
                </c:pt>
                <c:pt idx="22">
                  <c:v>9832.5149644800022</c:v>
                </c:pt>
                <c:pt idx="23">
                  <c:v>7319.4900480000006</c:v>
                </c:pt>
                <c:pt idx="24">
                  <c:v>6191.4820531200003</c:v>
                </c:pt>
                <c:pt idx="25">
                  <c:v>4060.6465536000001</c:v>
                </c:pt>
                <c:pt idx="26">
                  <c:v>10967.035921920002</c:v>
                </c:pt>
                <c:pt idx="27">
                  <c:v>5422.4348086272003</c:v>
                </c:pt>
                <c:pt idx="28">
                  <c:v>3941.5342546943998</c:v>
                </c:pt>
                <c:pt idx="29">
                  <c:v>5422.4348086272003</c:v>
                </c:pt>
                <c:pt idx="30">
                  <c:v>4223.072415744</c:v>
                </c:pt>
                <c:pt idx="31">
                  <c:v>7866.011971584001</c:v>
                </c:pt>
                <c:pt idx="32">
                  <c:v>9134.7235799040027</c:v>
                </c:pt>
                <c:pt idx="33">
                  <c:v>11012.4167602176</c:v>
                </c:pt>
                <c:pt idx="34">
                  <c:v>10225.815563059201</c:v>
                </c:pt>
                <c:pt idx="35">
                  <c:v>7612.269649920001</c:v>
                </c:pt>
                <c:pt idx="36">
                  <c:v>6439.1413352447998</c:v>
                </c:pt>
                <c:pt idx="37">
                  <c:v>4223.072415744</c:v>
                </c:pt>
                <c:pt idx="38">
                  <c:v>11405.717358796801</c:v>
                </c:pt>
                <c:pt idx="39">
                  <c:v>5639.3322009722897</c:v>
                </c:pt>
                <c:pt idx="40">
                  <c:v>4099.1956248821771</c:v>
                </c:pt>
                <c:pt idx="41">
                  <c:v>5639.3322009722897</c:v>
                </c:pt>
                <c:pt idx="42">
                  <c:v>4391.9953123737596</c:v>
                </c:pt>
                <c:pt idx="43">
                  <c:v>8180.6524504473618</c:v>
                </c:pt>
                <c:pt idx="44">
                  <c:v>9500.1125231001624</c:v>
                </c:pt>
                <c:pt idx="45">
                  <c:v>11452.913430626306</c:v>
                </c:pt>
                <c:pt idx="46">
                  <c:v>10634.848185581572</c:v>
                </c:pt>
                <c:pt idx="47">
                  <c:v>7916.7604359168008</c:v>
                </c:pt>
                <c:pt idx="48">
                  <c:v>6696.7069886545933</c:v>
                </c:pt>
                <c:pt idx="49">
                  <c:v>4391.9953123737596</c:v>
                </c:pt>
                <c:pt idx="50">
                  <c:v>11861.946053148673</c:v>
                </c:pt>
                <c:pt idx="51">
                  <c:v>5864.905489011182</c:v>
                </c:pt>
                <c:pt idx="52">
                  <c:v>4263.1634498774638</c:v>
                </c:pt>
                <c:pt idx="53">
                  <c:v>5864.905489011182</c:v>
                </c:pt>
                <c:pt idx="54">
                  <c:v>4567.6751248687106</c:v>
                </c:pt>
                <c:pt idx="55">
                  <c:v>8507.8785484652562</c:v>
                </c:pt>
                <c:pt idx="56">
                  <c:v>9880.1170240241681</c:v>
                </c:pt>
                <c:pt idx="57">
                  <c:v>11911.029967851358</c:v>
                </c:pt>
                <c:pt idx="58">
                  <c:v>11060.242113004835</c:v>
                </c:pt>
                <c:pt idx="59">
                  <c:v>8233.430853353475</c:v>
                </c:pt>
                <c:pt idx="60">
                  <c:v>6964.575268200776</c:v>
                </c:pt>
                <c:pt idx="61">
                  <c:v>4567.6751248687106</c:v>
                </c:pt>
                <c:pt idx="62">
                  <c:v>12336.423895274622</c:v>
                </c:pt>
                <c:pt idx="63">
                  <c:v>6099.501708571629</c:v>
                </c:pt>
                <c:pt idx="64">
                  <c:v>4433.6899878725626</c:v>
                </c:pt>
                <c:pt idx="65">
                  <c:v>6099.501708571629</c:v>
                </c:pt>
                <c:pt idx="66">
                  <c:v>4750.3821298634593</c:v>
                </c:pt>
                <c:pt idx="67">
                  <c:v>8848.1936904038648</c:v>
                </c:pt>
                <c:pt idx="68">
                  <c:v>10275.321704985137</c:v>
                </c:pt>
                <c:pt idx="69">
                  <c:v>12387.471166565414</c:v>
                </c:pt>
                <c:pt idx="70">
                  <c:v>11502.65179752503</c:v>
                </c:pt>
                <c:pt idx="71">
                  <c:v>8562.768087487615</c:v>
                </c:pt>
                <c:pt idx="72">
                  <c:v>7243.1582789288077</c:v>
                </c:pt>
                <c:pt idx="73">
                  <c:v>4750.3821298634593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481-49D9-945D-F37C31309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axId val="46564864"/>
        <c:axId val="45161792"/>
      </c:barChart>
      <c:lineChart>
        <c:grouping val="standard"/>
        <c:varyColors val="0"/>
        <c:ser>
          <c:idx val="2"/>
          <c:order val="1"/>
          <c:tx>
            <c:strRef>
              <c:f>ОФР!$A$19</c:f>
              <c:strCache>
                <c:ptCount val="1"/>
                <c:pt idx="0">
                  <c:v>Чистая прибыль (убыток)</c:v>
                </c:pt>
              </c:strCache>
            </c:strRef>
          </c:tx>
          <c:spPr>
            <a:ln w="19050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ОФР!$B$19:$BW$19</c:f>
              <c:numCache>
                <c:formatCode>#,##0</c:formatCode>
                <c:ptCount val="74"/>
                <c:pt idx="0">
                  <c:v>-123.791</c:v>
                </c:pt>
                <c:pt idx="1">
                  <c:v>-123.791</c:v>
                </c:pt>
                <c:pt idx="2">
                  <c:v>-123.791</c:v>
                </c:pt>
                <c:pt idx="3">
                  <c:v>-128.74263999999999</c:v>
                </c:pt>
                <c:pt idx="4">
                  <c:v>-128.74263999999999</c:v>
                </c:pt>
                <c:pt idx="5">
                  <c:v>-128.74263999999999</c:v>
                </c:pt>
                <c:pt idx="6">
                  <c:v>-128.74263999999999</c:v>
                </c:pt>
                <c:pt idx="7">
                  <c:v>-128.74263999999999</c:v>
                </c:pt>
                <c:pt idx="8">
                  <c:v>-380.33943999999997</c:v>
                </c:pt>
                <c:pt idx="9">
                  <c:v>2119.464736138545</c:v>
                </c:pt>
                <c:pt idx="10">
                  <c:v>1874.4695994439812</c:v>
                </c:pt>
                <c:pt idx="11">
                  <c:v>1127.3437492573216</c:v>
                </c:pt>
                <c:pt idx="12">
                  <c:v>734.27279447536478</c:v>
                </c:pt>
                <c:pt idx="13">
                  <c:v>-166.32546872022368</c:v>
                </c:pt>
                <c:pt idx="14">
                  <c:v>3903.3839803017263</c:v>
                </c:pt>
                <c:pt idx="15">
                  <c:v>-1734.395647085857</c:v>
                </c:pt>
                <c:pt idx="16">
                  <c:v>32.505304142704489</c:v>
                </c:pt>
                <c:pt idx="17">
                  <c:v>1206.8955661728082</c:v>
                </c:pt>
                <c:pt idx="18">
                  <c:v>502.3538734427591</c:v>
                </c:pt>
                <c:pt idx="19">
                  <c:v>3507.9871595955965</c:v>
                </c:pt>
                <c:pt idx="20">
                  <c:v>4420.2971514023411</c:v>
                </c:pt>
                <c:pt idx="21">
                  <c:v>5776.2577408224533</c:v>
                </c:pt>
                <c:pt idx="22">
                  <c:v>5211.7697056841007</c:v>
                </c:pt>
                <c:pt idx="23">
                  <c:v>3337.3524477056567</c:v>
                </c:pt>
                <c:pt idx="24">
                  <c:v>2309.2546241715013</c:v>
                </c:pt>
                <c:pt idx="25">
                  <c:v>675.85483762135982</c:v>
                </c:pt>
                <c:pt idx="26">
                  <c:v>6076.9726106756225</c:v>
                </c:pt>
                <c:pt idx="27">
                  <c:v>1715.1171662602567</c:v>
                </c:pt>
                <c:pt idx="28">
                  <c:v>542.76114533468558</c:v>
                </c:pt>
                <c:pt idx="29">
                  <c:v>1729.2805998180731</c:v>
                </c:pt>
                <c:pt idx="30">
                  <c:v>754.82117075289602</c:v>
                </c:pt>
                <c:pt idx="31">
                  <c:v>3725.8993186853918</c:v>
                </c:pt>
                <c:pt idx="32">
                  <c:v>4675.6936202932557</c:v>
                </c:pt>
                <c:pt idx="33">
                  <c:v>6084.6113478190109</c:v>
                </c:pt>
                <c:pt idx="34">
                  <c:v>5498.5289282039694</c:v>
                </c:pt>
                <c:pt idx="35">
                  <c:v>3548.9869208352334</c:v>
                </c:pt>
                <c:pt idx="36">
                  <c:v>2478.4940588885556</c:v>
                </c:pt>
                <c:pt idx="37">
                  <c:v>780.7332682052521</c:v>
                </c:pt>
                <c:pt idx="38">
                  <c:v>6396.6313999105278</c:v>
                </c:pt>
                <c:pt idx="39">
                  <c:v>1861.3083814473944</c:v>
                </c:pt>
                <c:pt idx="40">
                  <c:v>641.98359061364306</c:v>
                </c:pt>
                <c:pt idx="41">
                  <c:v>1871.2461350052099</c:v>
                </c:pt>
                <c:pt idx="42">
                  <c:v>862.21552850626836</c:v>
                </c:pt>
                <c:pt idx="43">
                  <c:v>3950.8793032849089</c:v>
                </c:pt>
                <c:pt idx="44">
                  <c:v>4939.6124078859293</c:v>
                </c:pt>
                <c:pt idx="45">
                  <c:v>6403.6365786415618</c:v>
                </c:pt>
                <c:pt idx="46">
                  <c:v>5795.0506499707608</c:v>
                </c:pt>
                <c:pt idx="47">
                  <c:v>3767.3717128361172</c:v>
                </c:pt>
                <c:pt idx="48">
                  <c:v>2652.8197305404174</c:v>
                </c:pt>
                <c:pt idx="49">
                  <c:v>888.07743595862348</c:v>
                </c:pt>
                <c:pt idx="50">
                  <c:v>6727.0772002609547</c:v>
                </c:pt>
                <c:pt idx="51">
                  <c:v>2012.5559779881396</c:v>
                </c:pt>
                <c:pt idx="52">
                  <c:v>743.16967484988106</c:v>
                </c:pt>
                <c:pt idx="53">
                  <c:v>2018.6170415459555</c:v>
                </c:pt>
                <c:pt idx="54">
                  <c:v>969.84269571589903</c:v>
                </c:pt>
                <c:pt idx="55">
                  <c:v>4179.9142252145284</c:v>
                </c:pt>
                <c:pt idx="56">
                  <c:v>5207.9672353284323</c:v>
                </c:pt>
                <c:pt idx="57">
                  <c:v>6728.5892014431356</c:v>
                </c:pt>
                <c:pt idx="58">
                  <c:v>6095.2548025543474</c:v>
                </c:pt>
                <c:pt idx="59">
                  <c:v>3983.703475663162</c:v>
                </c:pt>
                <c:pt idx="60">
                  <c:v>2821.1355346044752</c:v>
                </c:pt>
                <c:pt idx="61">
                  <c:v>983.70696316825502</c:v>
                </c:pt>
                <c:pt idx="62">
                  <c:v>7053.3226681715241</c:v>
                </c:pt>
                <c:pt idx="63">
                  <c:v>2146.5620671366387</c:v>
                </c:pt>
                <c:pt idx="64">
                  <c:v>824.73415160169361</c:v>
                </c:pt>
                <c:pt idx="65">
                  <c:v>2148.7162806944548</c:v>
                </c:pt>
                <c:pt idx="66">
                  <c:v>1057.0991639600409</c:v>
                </c:pt>
                <c:pt idx="67">
                  <c:v>4393.7269647674566</c:v>
                </c:pt>
                <c:pt idx="68">
                  <c:v>5461.3737662147641</c:v>
                </c:pt>
                <c:pt idx="69">
                  <c:v>7064.2684655473413</c:v>
                </c:pt>
                <c:pt idx="70">
                  <c:v>6404.0334727429572</c:v>
                </c:pt>
                <c:pt idx="71">
                  <c:v>4207.9381196160793</c:v>
                </c:pt>
                <c:pt idx="72">
                  <c:v>2998.7854877549989</c:v>
                </c:pt>
                <c:pt idx="73">
                  <c:v>1087.7778003012847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481-49D9-945D-F37C31309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64864"/>
        <c:axId val="45161792"/>
      </c:lineChart>
      <c:catAx>
        <c:axId val="465648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5161792"/>
        <c:crosses val="autoZero"/>
        <c:auto val="1"/>
        <c:lblAlgn val="ctr"/>
        <c:lblOffset val="100"/>
        <c:noMultiLvlLbl val="0"/>
      </c:catAx>
      <c:valAx>
        <c:axId val="4516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6564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5.3259214393072664E-2"/>
          <c:y val="0.89906848007635409"/>
          <c:w val="0.88770244745047899"/>
          <c:h val="9.2188021951801424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2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/>
              <a:t>Финансовый профиль проекта (окупаемость), тыс. руб.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v>Чистый денежный поток</c:v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Фин.показатели!$B$8:$BX$8</c:f>
              <c:numCache>
                <c:formatCode>0</c:formatCode>
                <c:ptCount val="75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2021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2022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2023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2024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2025</c:v>
                </c:pt>
                <c:pt idx="52">
                  <c:v>2025</c:v>
                </c:pt>
                <c:pt idx="53">
                  <c:v>2025</c:v>
                </c:pt>
                <c:pt idx="54">
                  <c:v>2025</c:v>
                </c:pt>
                <c:pt idx="55">
                  <c:v>2025</c:v>
                </c:pt>
                <c:pt idx="56">
                  <c:v>2025</c:v>
                </c:pt>
                <c:pt idx="57">
                  <c:v>2025</c:v>
                </c:pt>
                <c:pt idx="58">
                  <c:v>2025</c:v>
                </c:pt>
                <c:pt idx="59">
                  <c:v>2025</c:v>
                </c:pt>
                <c:pt idx="60">
                  <c:v>2025</c:v>
                </c:pt>
                <c:pt idx="61">
                  <c:v>2025</c:v>
                </c:pt>
                <c:pt idx="62">
                  <c:v>2025</c:v>
                </c:pt>
                <c:pt idx="63">
                  <c:v>2026</c:v>
                </c:pt>
                <c:pt idx="64">
                  <c:v>2026</c:v>
                </c:pt>
                <c:pt idx="65">
                  <c:v>2026</c:v>
                </c:pt>
                <c:pt idx="66">
                  <c:v>2026</c:v>
                </c:pt>
                <c:pt idx="67">
                  <c:v>2026</c:v>
                </c:pt>
                <c:pt idx="68">
                  <c:v>2026</c:v>
                </c:pt>
                <c:pt idx="69">
                  <c:v>2026</c:v>
                </c:pt>
                <c:pt idx="70">
                  <c:v>2026</c:v>
                </c:pt>
                <c:pt idx="71">
                  <c:v>2026</c:v>
                </c:pt>
                <c:pt idx="72">
                  <c:v>2026</c:v>
                </c:pt>
                <c:pt idx="73">
                  <c:v>2026</c:v>
                </c:pt>
                <c:pt idx="74">
                  <c:v>2026</c:v>
                </c:pt>
              </c:numCache>
            </c:numRef>
          </c:cat>
          <c:val>
            <c:numRef>
              <c:f>Фин.показатели!$B$12:$BX$12</c:f>
              <c:numCache>
                <c:formatCode>#,##0</c:formatCode>
                <c:ptCount val="75"/>
                <c:pt idx="0">
                  <c:v>-44168.602488000004</c:v>
                </c:pt>
                <c:pt idx="1">
                  <c:v>-55550.412782400002</c:v>
                </c:pt>
                <c:pt idx="2">
                  <c:v>-70520.116548799997</c:v>
                </c:pt>
                <c:pt idx="3">
                  <c:v>-80264.976028799996</c:v>
                </c:pt>
                <c:pt idx="4">
                  <c:v>-99173.011748799996</c:v>
                </c:pt>
                <c:pt idx="5">
                  <c:v>-111731.51874879999</c:v>
                </c:pt>
                <c:pt idx="6">
                  <c:v>-121716.37822879999</c:v>
                </c:pt>
                <c:pt idx="7">
                  <c:v>-127611.47334879999</c:v>
                </c:pt>
                <c:pt idx="8">
                  <c:v>-132808.16526879999</c:v>
                </c:pt>
                <c:pt idx="9">
                  <c:v>-130042.43646531668</c:v>
                </c:pt>
                <c:pt idx="10">
                  <c:v>-127521.70279852794</c:v>
                </c:pt>
                <c:pt idx="11">
                  <c:v>-125748.09498192585</c:v>
                </c:pt>
                <c:pt idx="12">
                  <c:v>-124367.55812010572</c:v>
                </c:pt>
                <c:pt idx="13">
                  <c:v>-123887.61952148119</c:v>
                </c:pt>
                <c:pt idx="14">
                  <c:v>-119337.9714738347</c:v>
                </c:pt>
                <c:pt idx="15">
                  <c:v>-120426.10305357579</c:v>
                </c:pt>
                <c:pt idx="16">
                  <c:v>-119747.33368208833</c:v>
                </c:pt>
                <c:pt idx="17">
                  <c:v>-117894.17404857076</c:v>
                </c:pt>
                <c:pt idx="18">
                  <c:v>-116745.55610778324</c:v>
                </c:pt>
                <c:pt idx="19">
                  <c:v>-112591.30488084289</c:v>
                </c:pt>
                <c:pt idx="20">
                  <c:v>-107524.74366209579</c:v>
                </c:pt>
                <c:pt idx="21">
                  <c:v>-101102.22185392857</c:v>
                </c:pt>
                <c:pt idx="22">
                  <c:v>-95244.188080899708</c:v>
                </c:pt>
                <c:pt idx="23">
                  <c:v>-91260.571565849285</c:v>
                </c:pt>
                <c:pt idx="24">
                  <c:v>-88305.052874333021</c:v>
                </c:pt>
                <c:pt idx="25">
                  <c:v>-86982.933969366903</c:v>
                </c:pt>
                <c:pt idx="26">
                  <c:v>-80259.697291346514</c:v>
                </c:pt>
                <c:pt idx="27">
                  <c:v>-77898.316057741496</c:v>
                </c:pt>
                <c:pt idx="28">
                  <c:v>-76709.290845062045</c:v>
                </c:pt>
                <c:pt idx="29">
                  <c:v>-74333.746177899215</c:v>
                </c:pt>
                <c:pt idx="30">
                  <c:v>-72932.660939801557</c:v>
                </c:pt>
                <c:pt idx="31">
                  <c:v>-68560.497553771405</c:v>
                </c:pt>
                <c:pt idx="32">
                  <c:v>-63238.539866133389</c:v>
                </c:pt>
                <c:pt idx="33">
                  <c:v>-56507.664450969613</c:v>
                </c:pt>
                <c:pt idx="34">
                  <c:v>-50362.871455420878</c:v>
                </c:pt>
                <c:pt idx="35">
                  <c:v>-46167.620467240878</c:v>
                </c:pt>
                <c:pt idx="36">
                  <c:v>-43042.86234100756</c:v>
                </c:pt>
                <c:pt idx="37">
                  <c:v>-41615.865005457548</c:v>
                </c:pt>
                <c:pt idx="38">
                  <c:v>-34572.969538202262</c:v>
                </c:pt>
                <c:pt idx="39">
                  <c:v>-32065.397089410108</c:v>
                </c:pt>
                <c:pt idx="40">
                  <c:v>-30777.149431451704</c:v>
                </c:pt>
                <c:pt idx="41">
                  <c:v>-28259.639229101733</c:v>
                </c:pt>
                <c:pt idx="42">
                  <c:v>-26751.159633250703</c:v>
                </c:pt>
                <c:pt idx="43">
                  <c:v>-22154.016262621033</c:v>
                </c:pt>
                <c:pt idx="44">
                  <c:v>-16568.139787390341</c:v>
                </c:pt>
                <c:pt idx="45">
                  <c:v>-9518.2391414040176</c:v>
                </c:pt>
                <c:pt idx="46">
                  <c:v>-3076.9244240884946</c:v>
                </c:pt>
                <c:pt idx="47">
                  <c:v>1336.7113560923835</c:v>
                </c:pt>
                <c:pt idx="48">
                  <c:v>4635.7951539775622</c:v>
                </c:pt>
                <c:pt idx="49">
                  <c:v>6170.1366572809475</c:v>
                </c:pt>
                <c:pt idx="50">
                  <c:v>13543.477924886663</c:v>
                </c:pt>
                <c:pt idx="51">
                  <c:v>16202.297970219566</c:v>
                </c:pt>
                <c:pt idx="52">
                  <c:v>17591.73171241421</c:v>
                </c:pt>
                <c:pt idx="53">
                  <c:v>20256.612821304927</c:v>
                </c:pt>
                <c:pt idx="54">
                  <c:v>21872.719584365586</c:v>
                </c:pt>
                <c:pt idx="55">
                  <c:v>26698.897876924879</c:v>
                </c:pt>
                <c:pt idx="56">
                  <c:v>32553.129179598072</c:v>
                </c:pt>
                <c:pt idx="57">
                  <c:v>39927.98244838597</c:v>
                </c:pt>
                <c:pt idx="58">
                  <c:v>46669.501318285082</c:v>
                </c:pt>
                <c:pt idx="59">
                  <c:v>51299.468861293004</c:v>
                </c:pt>
                <c:pt idx="60">
                  <c:v>54766.868463242245</c:v>
                </c:pt>
                <c:pt idx="61">
                  <c:v>56396.839493755258</c:v>
                </c:pt>
                <c:pt idx="62">
                  <c:v>64096.426229271543</c:v>
                </c:pt>
                <c:pt idx="63">
                  <c:v>66889.252363752938</c:v>
                </c:pt>
                <c:pt idx="64">
                  <c:v>68360.250582699387</c:v>
                </c:pt>
                <c:pt idx="65">
                  <c:v>71155.230930738602</c:v>
                </c:pt>
                <c:pt idx="66">
                  <c:v>72858.594162043402</c:v>
                </c:pt>
                <c:pt idx="67">
                  <c:v>77898.585194155618</c:v>
                </c:pt>
                <c:pt idx="68">
                  <c:v>84006.223027715139</c:v>
                </c:pt>
                <c:pt idx="69">
                  <c:v>91693.422227273913</c:v>
                </c:pt>
                <c:pt idx="70">
                  <c:v>98720.386434028303</c:v>
                </c:pt>
                <c:pt idx="71">
                  <c:v>103551.25528765582</c:v>
                </c:pt>
                <c:pt idx="72">
                  <c:v>107172.97150942225</c:v>
                </c:pt>
                <c:pt idx="73">
                  <c:v>108883.68004373496</c:v>
                </c:pt>
                <c:pt idx="74">
                  <c:v>116906.70693809103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71B-46B5-8C70-17120A036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353920"/>
        <c:axId val="45460288"/>
      </c:areaChart>
      <c:lineChart>
        <c:grouping val="standard"/>
        <c:varyColors val="0"/>
        <c:ser>
          <c:idx val="1"/>
          <c:order val="1"/>
          <c:tx>
            <c:v>Дисконтированный денежный поток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Фин.показатели!$B$8:$BX$8</c:f>
              <c:numCache>
                <c:formatCode>0</c:formatCode>
                <c:ptCount val="75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2021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2022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2023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2024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2025</c:v>
                </c:pt>
                <c:pt idx="52">
                  <c:v>2025</c:v>
                </c:pt>
                <c:pt idx="53">
                  <c:v>2025</c:v>
                </c:pt>
                <c:pt idx="54">
                  <c:v>2025</c:v>
                </c:pt>
                <c:pt idx="55">
                  <c:v>2025</c:v>
                </c:pt>
                <c:pt idx="56">
                  <c:v>2025</c:v>
                </c:pt>
                <c:pt idx="57">
                  <c:v>2025</c:v>
                </c:pt>
                <c:pt idx="58">
                  <c:v>2025</c:v>
                </c:pt>
                <c:pt idx="59">
                  <c:v>2025</c:v>
                </c:pt>
                <c:pt idx="60">
                  <c:v>2025</c:v>
                </c:pt>
                <c:pt idx="61">
                  <c:v>2025</c:v>
                </c:pt>
                <c:pt idx="62">
                  <c:v>2025</c:v>
                </c:pt>
                <c:pt idx="63">
                  <c:v>2026</c:v>
                </c:pt>
                <c:pt idx="64">
                  <c:v>2026</c:v>
                </c:pt>
                <c:pt idx="65">
                  <c:v>2026</c:v>
                </c:pt>
                <c:pt idx="66">
                  <c:v>2026</c:v>
                </c:pt>
                <c:pt idx="67">
                  <c:v>2026</c:v>
                </c:pt>
                <c:pt idx="68">
                  <c:v>2026</c:v>
                </c:pt>
                <c:pt idx="69">
                  <c:v>2026</c:v>
                </c:pt>
                <c:pt idx="70">
                  <c:v>2026</c:v>
                </c:pt>
                <c:pt idx="71">
                  <c:v>2026</c:v>
                </c:pt>
                <c:pt idx="72">
                  <c:v>2026</c:v>
                </c:pt>
                <c:pt idx="73">
                  <c:v>2026</c:v>
                </c:pt>
                <c:pt idx="74">
                  <c:v>2026</c:v>
                </c:pt>
              </c:numCache>
            </c:numRef>
          </c:cat>
          <c:val>
            <c:numRef>
              <c:f>Фин.показатели!$B$16:$BX$16</c:f>
              <c:numCache>
                <c:formatCode>#,##0</c:formatCode>
                <c:ptCount val="75"/>
                <c:pt idx="0">
                  <c:v>-44168.602488000004</c:v>
                </c:pt>
                <c:pt idx="1">
                  <c:v>-55350.377648883521</c:v>
                </c:pt>
                <c:pt idx="2">
                  <c:v>-69884.168089910119</c:v>
                </c:pt>
                <c:pt idx="3">
                  <c:v>-79234.080529240688</c:v>
                </c:pt>
                <c:pt idx="4">
                  <c:v>-97162.609277249183</c:v>
                </c:pt>
                <c:pt idx="5">
                  <c:v>-108930.60562467732</c:v>
                </c:pt>
                <c:pt idx="6">
                  <c:v>-118177.00707607629</c:v>
                </c:pt>
                <c:pt idx="7">
                  <c:v>-123571.96274160725</c:v>
                </c:pt>
                <c:pt idx="8">
                  <c:v>-128271.88104754682</c:v>
                </c:pt>
                <c:pt idx="9">
                  <c:v>-125799.93375785157</c:v>
                </c:pt>
                <c:pt idx="10">
                  <c:v>-123573.43298533538</c:v>
                </c:pt>
                <c:pt idx="11">
                  <c:v>-122025.25902860006</c:v>
                </c:pt>
                <c:pt idx="12">
                  <c:v>-120834.35587384114</c:v>
                </c:pt>
                <c:pt idx="13">
                  <c:v>-120425.20791150226</c:v>
                </c:pt>
                <c:pt idx="14">
                  <c:v>-116592.20816650272</c:v>
                </c:pt>
                <c:pt idx="15">
                  <c:v>-117498.16744716601</c:v>
                </c:pt>
                <c:pt idx="16">
                  <c:v>-116939.67696538527</c:v>
                </c:pt>
                <c:pt idx="17">
                  <c:v>-115432.81786440396</c:v>
                </c:pt>
                <c:pt idx="18">
                  <c:v>-114509.81789979382</c:v>
                </c:pt>
                <c:pt idx="19">
                  <c:v>-111210.79659025476</c:v>
                </c:pt>
                <c:pt idx="20">
                  <c:v>-107234.56259863373</c:v>
                </c:pt>
                <c:pt idx="21">
                  <c:v>-102253.40248574494</c:v>
                </c:pt>
                <c:pt idx="22">
                  <c:v>-97763.436402370658</c:v>
                </c:pt>
                <c:pt idx="23">
                  <c:v>-94746.021794606364</c:v>
                </c:pt>
                <c:pt idx="24">
                  <c:v>-92533.65337921647</c:v>
                </c:pt>
                <c:pt idx="25">
                  <c:v>-91555.604567603863</c:v>
                </c:pt>
                <c:pt idx="26">
                  <c:v>-86640.478182544874</c:v>
                </c:pt>
                <c:pt idx="27">
                  <c:v>-84934.44029341657</c:v>
                </c:pt>
                <c:pt idx="28">
                  <c:v>-84085.494611998409</c:v>
                </c:pt>
                <c:pt idx="29">
                  <c:v>-82409.323638594942</c:v>
                </c:pt>
                <c:pt idx="30">
                  <c:v>-81432.3430223225</c:v>
                </c:pt>
                <c:pt idx="31">
                  <c:v>-78419.447666794731</c:v>
                </c:pt>
                <c:pt idx="32">
                  <c:v>-74795.137499507691</c:v>
                </c:pt>
                <c:pt idx="33">
                  <c:v>-70265.204618985736</c:v>
                </c:pt>
                <c:pt idx="34">
                  <c:v>-66178.307104453503</c:v>
                </c:pt>
                <c:pt idx="35">
                  <c:v>-63420.837628918889</c:v>
                </c:pt>
                <c:pt idx="36">
                  <c:v>-61391.120828515246</c:v>
                </c:pt>
                <c:pt idx="37">
                  <c:v>-60475.093400593563</c:v>
                </c:pt>
                <c:pt idx="38">
                  <c:v>-56007.199688773442</c:v>
                </c:pt>
                <c:pt idx="39">
                  <c:v>-54435.131589237862</c:v>
                </c:pt>
                <c:pt idx="40">
                  <c:v>-53636.983456009082</c:v>
                </c:pt>
                <c:pt idx="41">
                  <c:v>-52095.561094810793</c:v>
                </c:pt>
                <c:pt idx="42">
                  <c:v>-51182.802079965142</c:v>
                </c:pt>
                <c:pt idx="43">
                  <c:v>-48433.825662933479</c:v>
                </c:pt>
                <c:pt idx="44">
                  <c:v>-45132.863330932909</c:v>
                </c:pt>
                <c:pt idx="45">
                  <c:v>-41015.696052141764</c:v>
                </c:pt>
                <c:pt idx="46">
                  <c:v>-37298.150403409956</c:v>
                </c:pt>
                <c:pt idx="47">
                  <c:v>-34780.794862433831</c:v>
                </c:pt>
                <c:pt idx="48">
                  <c:v>-32921.245599272333</c:v>
                </c:pt>
                <c:pt idx="49">
                  <c:v>-32066.567355334195</c:v>
                </c:pt>
                <c:pt idx="50">
                  <c:v>-28007.640485460419</c:v>
                </c:pt>
                <c:pt idx="51">
                  <c:v>-26561.194865123372</c:v>
                </c:pt>
                <c:pt idx="52">
                  <c:v>-25814.200573551581</c:v>
                </c:pt>
                <c:pt idx="53">
                  <c:v>-24398.330003181873</c:v>
                </c:pt>
                <c:pt idx="54">
                  <c:v>-23549.771012214791</c:v>
                </c:pt>
                <c:pt idx="55">
                  <c:v>-21045.498256901556</c:v>
                </c:pt>
                <c:pt idx="56">
                  <c:v>-18043.472463131096</c:v>
                </c:pt>
                <c:pt idx="57">
                  <c:v>-14306.11876450284</c:v>
                </c:pt>
                <c:pt idx="58">
                  <c:v>-10929.866826362508</c:v>
                </c:pt>
                <c:pt idx="59">
                  <c:v>-8638.3591647169669</c:v>
                </c:pt>
                <c:pt idx="60">
                  <c:v>-6942.4072397544323</c:v>
                </c:pt>
                <c:pt idx="61">
                  <c:v>-6154.5349920288527</c:v>
                </c:pt>
                <c:pt idx="62">
                  <c:v>-2476.552919902243</c:v>
                </c:pt>
                <c:pt idx="63">
                  <c:v>-1158.1372163078931</c:v>
                </c:pt>
                <c:pt idx="64">
                  <c:v>-471.88005514723341</c:v>
                </c:pt>
                <c:pt idx="65">
                  <c:v>816.72483821937431</c:v>
                </c:pt>
                <c:pt idx="66">
                  <c:v>1592.8192583419009</c:v>
                </c:pt>
                <c:pt idx="67">
                  <c:v>3862.1789225711859</c:v>
                </c:pt>
                <c:pt idx="68">
                  <c:v>6579.9515450830504</c:v>
                </c:pt>
                <c:pt idx="69">
                  <c:v>9960.3994927724252</c:v>
                </c:pt>
                <c:pt idx="70">
                  <c:v>13014.196283350331</c:v>
                </c:pt>
                <c:pt idx="71">
                  <c:v>15088.937408988788</c:v>
                </c:pt>
                <c:pt idx="72">
                  <c:v>16626.09842381495</c:v>
                </c:pt>
                <c:pt idx="73">
                  <c:v>17343.640280717231</c:v>
                </c:pt>
                <c:pt idx="74">
                  <c:v>20669.284156767939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71B-46B5-8C70-17120A036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353920"/>
        <c:axId val="45460288"/>
      </c:lineChart>
      <c:catAx>
        <c:axId val="463539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2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45460288"/>
        <c:crosses val="autoZero"/>
        <c:auto val="1"/>
        <c:lblAlgn val="ctr"/>
        <c:lblOffset val="100"/>
        <c:noMultiLvlLbl val="0"/>
      </c:catAx>
      <c:valAx>
        <c:axId val="454602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2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46353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ru-RU"/>
              <a:t>Анализ чувствительности </a:t>
            </a:r>
            <a:r>
              <a:rPr lang="en-US"/>
              <a:t>NPV</a:t>
            </a:r>
            <a:r>
              <a:rPr lang="ru-RU"/>
              <a:t> к возможным рискам, млн. руб.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8891227928128"/>
          <c:y val="0.12659176029962546"/>
          <c:w val="0.5165737517231711"/>
          <c:h val="0.83220973782771535"/>
        </c:manualLayout>
      </c:layout>
      <c:lineChart>
        <c:grouping val="standard"/>
        <c:varyColors val="0"/>
        <c:ser>
          <c:idx val="0"/>
          <c:order val="0"/>
          <c:tx>
            <c:strRef>
              <c:f>Риски!$B$29</c:f>
              <c:strCache>
                <c:ptCount val="1"/>
                <c:pt idx="0">
                  <c:v>Изменение инвестиций</c:v>
                </c:pt>
              </c:strCache>
            </c:strRef>
          </c:tx>
          <c:spPr>
            <a:ln w="1905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accent1"/>
              </a:solidFill>
              <a:ln w="6350" cap="flat" cmpd="sng" algn="ctr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cat>
            <c:numRef>
              <c:f>Риски!$A$30:$A$38</c:f>
              <c:numCache>
                <c:formatCode>0.0%</c:formatCode>
                <c:ptCount val="9"/>
                <c:pt idx="0">
                  <c:v>-0.2</c:v>
                </c:pt>
                <c:pt idx="1">
                  <c:v>-0.15</c:v>
                </c:pt>
                <c:pt idx="2">
                  <c:v>-0.1</c:v>
                </c:pt>
                <c:pt idx="3">
                  <c:v>-0.05</c:v>
                </c:pt>
                <c:pt idx="4">
                  <c:v>0</c:v>
                </c:pt>
                <c:pt idx="5">
                  <c:v>0.05</c:v>
                </c:pt>
                <c:pt idx="6">
                  <c:v>0.1</c:v>
                </c:pt>
                <c:pt idx="7">
                  <c:v>0.15</c:v>
                </c:pt>
                <c:pt idx="8">
                  <c:v>0.2</c:v>
                </c:pt>
              </c:numCache>
            </c:numRef>
          </c:cat>
          <c:val>
            <c:numRef>
              <c:f>Риски!$B$30:$B$38</c:f>
              <c:numCache>
                <c:formatCode>#,##0.00</c:formatCode>
                <c:ptCount val="9"/>
                <c:pt idx="0">
                  <c:v>17.031425078942966</c:v>
                </c:pt>
                <c:pt idx="1">
                  <c:v>16.840568510490048</c:v>
                </c:pt>
                <c:pt idx="2">
                  <c:v>16.649711942037136</c:v>
                </c:pt>
                <c:pt idx="3">
                  <c:v>16.458861716727718</c:v>
                </c:pt>
                <c:pt idx="4">
                  <c:v>16.267998805131221</c:v>
                </c:pt>
                <c:pt idx="5">
                  <c:v>16.077142236678259</c:v>
                </c:pt>
                <c:pt idx="6">
                  <c:v>15.886285668225373</c:v>
                </c:pt>
                <c:pt idx="7">
                  <c:v>15.695429099772463</c:v>
                </c:pt>
                <c:pt idx="8">
                  <c:v>15.504572531319523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A66-4A23-A23D-C11C12020019}"/>
            </c:ext>
          </c:extLst>
        </c:ser>
        <c:ser>
          <c:idx val="1"/>
          <c:order val="1"/>
          <c:tx>
            <c:strRef>
              <c:f>Риски!$C$29</c:f>
              <c:strCache>
                <c:ptCount val="1"/>
                <c:pt idx="0">
                  <c:v>Изменение цен</c:v>
                </c:pt>
              </c:strCache>
            </c:strRef>
          </c:tx>
          <c:spPr>
            <a:ln w="1905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6350" cap="flat" cmpd="sng" algn="ctr">
                <a:solidFill>
                  <a:schemeClr val="accent3"/>
                </a:solidFill>
                <a:prstDash val="solid"/>
                <a:round/>
              </a:ln>
              <a:effectLst/>
            </c:spPr>
          </c:marker>
          <c:cat>
            <c:numRef>
              <c:f>Риски!$A$30:$A$38</c:f>
              <c:numCache>
                <c:formatCode>0.0%</c:formatCode>
                <c:ptCount val="9"/>
                <c:pt idx="0">
                  <c:v>-0.2</c:v>
                </c:pt>
                <c:pt idx="1">
                  <c:v>-0.15</c:v>
                </c:pt>
                <c:pt idx="2">
                  <c:v>-0.1</c:v>
                </c:pt>
                <c:pt idx="3">
                  <c:v>-0.05</c:v>
                </c:pt>
                <c:pt idx="4">
                  <c:v>0</c:v>
                </c:pt>
                <c:pt idx="5">
                  <c:v>0.05</c:v>
                </c:pt>
                <c:pt idx="6">
                  <c:v>0.1</c:v>
                </c:pt>
                <c:pt idx="7">
                  <c:v>0.15</c:v>
                </c:pt>
                <c:pt idx="8">
                  <c:v>0.2</c:v>
                </c:pt>
              </c:numCache>
            </c:numRef>
          </c:cat>
          <c:val>
            <c:numRef>
              <c:f>Риски!$C$30:$C$38</c:f>
              <c:numCache>
                <c:formatCode>#,##0.00</c:formatCode>
                <c:ptCount val="9"/>
                <c:pt idx="0">
                  <c:v>-36.643124013369722</c:v>
                </c:pt>
                <c:pt idx="1">
                  <c:v>-23.40145862597015</c:v>
                </c:pt>
                <c:pt idx="2">
                  <c:v>-10.165202928939117</c:v>
                </c:pt>
                <c:pt idx="3">
                  <c:v>3.0679597808581005</c:v>
                </c:pt>
                <c:pt idx="4">
                  <c:v>16.267998805131221</c:v>
                </c:pt>
                <c:pt idx="5">
                  <c:v>29.459027031903247</c:v>
                </c:pt>
                <c:pt idx="6">
                  <c:v>42.646530827535642</c:v>
                </c:pt>
                <c:pt idx="7">
                  <c:v>55.831054416353226</c:v>
                </c:pt>
                <c:pt idx="8">
                  <c:v>69.011030253090041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A66-4A23-A23D-C11C12020019}"/>
            </c:ext>
          </c:extLst>
        </c:ser>
        <c:ser>
          <c:idx val="2"/>
          <c:order val="2"/>
          <c:tx>
            <c:strRef>
              <c:f>Риски!$D$29</c:f>
              <c:strCache>
                <c:ptCount val="1"/>
                <c:pt idx="0">
                  <c:v>Изменение загрузки номерного фонда</c:v>
                </c:pt>
              </c:strCache>
            </c:strRef>
          </c:tx>
          <c:spPr>
            <a:ln w="19050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triangle"/>
            <c:size val="5"/>
            <c:spPr>
              <a:solidFill>
                <a:schemeClr val="accent5"/>
              </a:solidFill>
              <a:ln w="6350" cap="flat" cmpd="sng" algn="ctr">
                <a:solidFill>
                  <a:schemeClr val="accent5"/>
                </a:solidFill>
                <a:prstDash val="solid"/>
                <a:round/>
              </a:ln>
              <a:effectLst/>
            </c:spPr>
          </c:marker>
          <c:cat>
            <c:numRef>
              <c:f>Риски!$A$30:$A$38</c:f>
              <c:numCache>
                <c:formatCode>0.0%</c:formatCode>
                <c:ptCount val="9"/>
                <c:pt idx="0">
                  <c:v>-0.2</c:v>
                </c:pt>
                <c:pt idx="1">
                  <c:v>-0.15</c:v>
                </c:pt>
                <c:pt idx="2">
                  <c:v>-0.1</c:v>
                </c:pt>
                <c:pt idx="3">
                  <c:v>-0.05</c:v>
                </c:pt>
                <c:pt idx="4">
                  <c:v>0</c:v>
                </c:pt>
                <c:pt idx="5">
                  <c:v>0.05</c:v>
                </c:pt>
                <c:pt idx="6">
                  <c:v>0.1</c:v>
                </c:pt>
                <c:pt idx="7">
                  <c:v>0.15</c:v>
                </c:pt>
                <c:pt idx="8">
                  <c:v>0.2</c:v>
                </c:pt>
              </c:numCache>
            </c:numRef>
          </c:cat>
          <c:val>
            <c:numRef>
              <c:f>Риски!$D$30:$D$38</c:f>
              <c:numCache>
                <c:formatCode>#,##0.00</c:formatCode>
                <c:ptCount val="9"/>
                <c:pt idx="0">
                  <c:v>-25.167194257763938</c:v>
                </c:pt>
                <c:pt idx="1">
                  <c:v>-14.794511309265841</c:v>
                </c:pt>
                <c:pt idx="2">
                  <c:v>-4.4272380511362108</c:v>
                </c:pt>
                <c:pt idx="3">
                  <c:v>5.9369422197595503</c:v>
                </c:pt>
                <c:pt idx="4">
                  <c:v>16.267998805131221</c:v>
                </c:pt>
                <c:pt idx="5">
                  <c:v>26.590044593001796</c:v>
                </c:pt>
                <c:pt idx="6">
                  <c:v>36.908565949732768</c:v>
                </c:pt>
                <c:pt idx="7">
                  <c:v>47.224107099648961</c:v>
                </c:pt>
                <c:pt idx="8">
                  <c:v>57.535100497484308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A66-4A23-A23D-C11C12020019}"/>
            </c:ext>
          </c:extLst>
        </c:ser>
        <c:ser>
          <c:idx val="3"/>
          <c:order val="3"/>
          <c:tx>
            <c:strRef>
              <c:f>Риски!$E$29</c:f>
              <c:strCache>
                <c:ptCount val="1"/>
                <c:pt idx="0">
                  <c:v>Изменение затрат на персонал</c:v>
                </c:pt>
              </c:strCache>
            </c:strRef>
          </c:tx>
          <c:spPr>
            <a:ln w="19050" cap="rnd" cmpd="sng" algn="ctr">
              <a:solidFill>
                <a:schemeClr val="accent1">
                  <a:lumMod val="60000"/>
                </a:schemeClr>
              </a:solidFill>
              <a:prstDash val="solid"/>
              <a:round/>
            </a:ln>
            <a:effectLst/>
          </c:spPr>
          <c:marker>
            <c:symbol val="x"/>
            <c:size val="5"/>
            <c:spPr>
              <a:noFill/>
              <a:ln w="6350" cap="flat" cmpd="sng" algn="ctr">
                <a:solidFill>
                  <a:schemeClr val="accent1">
                    <a:lumMod val="60000"/>
                  </a:schemeClr>
                </a:solidFill>
                <a:prstDash val="solid"/>
                <a:round/>
              </a:ln>
              <a:effectLst/>
            </c:spPr>
          </c:marker>
          <c:cat>
            <c:numRef>
              <c:f>Риски!$A$30:$A$38</c:f>
              <c:numCache>
                <c:formatCode>0.0%</c:formatCode>
                <c:ptCount val="9"/>
                <c:pt idx="0">
                  <c:v>-0.2</c:v>
                </c:pt>
                <c:pt idx="1">
                  <c:v>-0.15</c:v>
                </c:pt>
                <c:pt idx="2">
                  <c:v>-0.1</c:v>
                </c:pt>
                <c:pt idx="3">
                  <c:v>-0.05</c:v>
                </c:pt>
                <c:pt idx="4">
                  <c:v>0</c:v>
                </c:pt>
                <c:pt idx="5">
                  <c:v>0.05</c:v>
                </c:pt>
                <c:pt idx="6">
                  <c:v>0.1</c:v>
                </c:pt>
                <c:pt idx="7">
                  <c:v>0.15</c:v>
                </c:pt>
                <c:pt idx="8">
                  <c:v>0.2</c:v>
                </c:pt>
              </c:numCache>
            </c:numRef>
          </c:cat>
          <c:val>
            <c:numRef>
              <c:f>Риски!$E$30:$E$38</c:f>
              <c:numCache>
                <c:formatCode>#,##0.00</c:formatCode>
                <c:ptCount val="9"/>
                <c:pt idx="0">
                  <c:v>25.128543173078302</c:v>
                </c:pt>
                <c:pt idx="1">
                  <c:v>22.928242735435866</c:v>
                </c:pt>
                <c:pt idx="2">
                  <c:v>20.712866616741735</c:v>
                </c:pt>
                <c:pt idx="3">
                  <c:v>18.49257954331469</c:v>
                </c:pt>
                <c:pt idx="4">
                  <c:v>16.267998805131221</c:v>
                </c:pt>
                <c:pt idx="5">
                  <c:v>14.035878661686178</c:v>
                </c:pt>
                <c:pt idx="6">
                  <c:v>11.771623014237196</c:v>
                </c:pt>
                <c:pt idx="7">
                  <c:v>9.5037802887942924</c:v>
                </c:pt>
                <c:pt idx="8">
                  <c:v>7.2359375633513947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A66-4A23-A23D-C11C12020019}"/>
            </c:ext>
          </c:extLst>
        </c:ser>
        <c:ser>
          <c:idx val="4"/>
          <c:order val="4"/>
          <c:tx>
            <c:strRef>
              <c:f>Риски!$F$29</c:f>
              <c:strCache>
                <c:ptCount val="1"/>
                <c:pt idx="0">
                  <c:v>Изменение коммерческих затрат</c:v>
                </c:pt>
              </c:strCache>
            </c:strRef>
          </c:tx>
          <c:cat>
            <c:numRef>
              <c:f>Риски!$A$30:$A$38</c:f>
              <c:numCache>
                <c:formatCode>0.0%</c:formatCode>
                <c:ptCount val="9"/>
                <c:pt idx="0">
                  <c:v>-0.2</c:v>
                </c:pt>
                <c:pt idx="1">
                  <c:v>-0.15</c:v>
                </c:pt>
                <c:pt idx="2">
                  <c:v>-0.1</c:v>
                </c:pt>
                <c:pt idx="3">
                  <c:v>-0.05</c:v>
                </c:pt>
                <c:pt idx="4">
                  <c:v>0</c:v>
                </c:pt>
                <c:pt idx="5">
                  <c:v>0.05</c:v>
                </c:pt>
                <c:pt idx="6">
                  <c:v>0.1</c:v>
                </c:pt>
                <c:pt idx="7">
                  <c:v>0.15</c:v>
                </c:pt>
                <c:pt idx="8">
                  <c:v>0.2</c:v>
                </c:pt>
              </c:numCache>
            </c:numRef>
          </c:cat>
          <c:val>
            <c:numRef>
              <c:f>Риски!$F$30:$F$38</c:f>
              <c:numCache>
                <c:formatCode>#,##0.00</c:formatCode>
                <c:ptCount val="9"/>
                <c:pt idx="0">
                  <c:v>20.164665846028118</c:v>
                </c:pt>
                <c:pt idx="1">
                  <c:v>19.190499085803932</c:v>
                </c:pt>
                <c:pt idx="2">
                  <c:v>18.216332325579693</c:v>
                </c:pt>
                <c:pt idx="3">
                  <c:v>17.242165565355457</c:v>
                </c:pt>
                <c:pt idx="4">
                  <c:v>16.267998805131221</c:v>
                </c:pt>
                <c:pt idx="5">
                  <c:v>15.293832044907061</c:v>
                </c:pt>
                <c:pt idx="6">
                  <c:v>14.319665284682847</c:v>
                </c:pt>
                <c:pt idx="7">
                  <c:v>13.34549852445857</c:v>
                </c:pt>
                <c:pt idx="8">
                  <c:v>12.371331764234371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3C4-4AA9-8E5E-F62093C3F427}"/>
            </c:ext>
          </c:extLst>
        </c:ser>
        <c:ser>
          <c:idx val="5"/>
          <c:order val="5"/>
          <c:tx>
            <c:strRef>
              <c:f>Риски!$G$29</c:f>
              <c:strCache>
                <c:ptCount val="1"/>
                <c:pt idx="0">
                  <c:v>Изменение коммунальных затрат</c:v>
                </c:pt>
              </c:strCache>
            </c:strRef>
          </c:tx>
          <c:cat>
            <c:numRef>
              <c:f>Риски!$A$30:$A$38</c:f>
              <c:numCache>
                <c:formatCode>0.0%</c:formatCode>
                <c:ptCount val="9"/>
                <c:pt idx="0">
                  <c:v>-0.2</c:v>
                </c:pt>
                <c:pt idx="1">
                  <c:v>-0.15</c:v>
                </c:pt>
                <c:pt idx="2">
                  <c:v>-0.1</c:v>
                </c:pt>
                <c:pt idx="3">
                  <c:v>-0.05</c:v>
                </c:pt>
                <c:pt idx="4">
                  <c:v>0</c:v>
                </c:pt>
                <c:pt idx="5">
                  <c:v>0.05</c:v>
                </c:pt>
                <c:pt idx="6">
                  <c:v>0.1</c:v>
                </c:pt>
                <c:pt idx="7">
                  <c:v>0.15</c:v>
                </c:pt>
                <c:pt idx="8">
                  <c:v>0.2</c:v>
                </c:pt>
              </c:numCache>
            </c:numRef>
          </c:cat>
          <c:val>
            <c:numRef>
              <c:f>Риски!$G$30:$G$38</c:f>
              <c:numCache>
                <c:formatCode>#,##0.00</c:formatCode>
                <c:ptCount val="9"/>
                <c:pt idx="0">
                  <c:v>18.943331611121323</c:v>
                </c:pt>
                <c:pt idx="1">
                  <c:v>18.27449840962381</c:v>
                </c:pt>
                <c:pt idx="2">
                  <c:v>17.605665208126339</c:v>
                </c:pt>
                <c:pt idx="3">
                  <c:v>16.936832006628759</c:v>
                </c:pt>
                <c:pt idx="4">
                  <c:v>16.267998805131221</c:v>
                </c:pt>
                <c:pt idx="5">
                  <c:v>15.599165603633724</c:v>
                </c:pt>
                <c:pt idx="6">
                  <c:v>14.930332402136237</c:v>
                </c:pt>
                <c:pt idx="7">
                  <c:v>14.261499200638678</c:v>
                </c:pt>
                <c:pt idx="8">
                  <c:v>13.592665999141206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B4-457A-B47B-F45DE962F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381056"/>
        <c:axId val="45462592"/>
      </c:lineChart>
      <c:catAx>
        <c:axId val="46381056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5462592"/>
        <c:crosses val="autoZero"/>
        <c:auto val="1"/>
        <c:lblAlgn val="ctr"/>
        <c:lblOffset val="100"/>
        <c:tickMarkSkip val="1"/>
        <c:noMultiLvlLbl val="0"/>
      </c:catAx>
      <c:valAx>
        <c:axId val="454625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NPV, </a:t>
                </a:r>
                <a:r>
                  <a:rPr lang="ru-RU"/>
                  <a:t>млн. руб.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.00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ru-RU"/>
          </a:p>
        </c:txPr>
        <c:crossAx val="463810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34319618498392"/>
          <c:y val="0.33520599250936328"/>
          <c:w val="0.32689538331215584"/>
          <c:h val="0.3812173759178978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Структура производства мяса КРС, %</a:t>
            </a:r>
          </a:p>
        </c:rich>
      </c:tx>
      <c:layout>
        <c:manualLayout>
          <c:xMode val="edge"/>
          <c:yMode val="edge"/>
          <c:x val="0.16803758020813436"/>
          <c:y val="7.5014013078873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81200586123049E-2"/>
          <c:y val="0.16754657716965707"/>
          <c:w val="0.61714241731513775"/>
          <c:h val="0.754998529748097"/>
        </c:manualLayout>
      </c:layout>
      <c:doughnut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rgbClr val="5B9BD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9C5-4FBF-8939-26CC3B017F53}"/>
              </c:ext>
            </c:extLst>
          </c:dPt>
          <c:dPt>
            <c:idx val="1"/>
            <c:bubble3D val="0"/>
            <c:spPr>
              <a:solidFill>
                <a:srgbClr val="A5A5A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9C5-4FBF-8939-26CC3B017F53}"/>
              </c:ext>
            </c:extLst>
          </c:dPt>
          <c:dPt>
            <c:idx val="2"/>
            <c:bubble3D val="0"/>
            <c:spPr>
              <a:solidFill>
                <a:srgbClr val="4472C4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9C5-4FBF-8939-26CC3B017F53}"/>
              </c:ext>
            </c:extLst>
          </c:dPt>
          <c:dLbls>
            <c:dLbl>
              <c:idx val="1"/>
              <c:layout>
                <c:manualLayout>
                  <c:x val="2.4498447128071255E-2"/>
                  <c:y val="-5.464480874317040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C5-4FBF-8939-26CC3B017F53}"/>
                </c:ext>
              </c:extLst>
            </c:dLbl>
            <c:dLbl>
              <c:idx val="2"/>
              <c:layout>
                <c:manualLayout>
                  <c:x val="-5.0157126585591863E-2"/>
                  <c:y val="-2.5045248015777034E-1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C5-4FBF-8939-26CC3B017F53}"/>
                </c:ext>
              </c:extLst>
            </c:dLbl>
            <c:dLbl>
              <c:idx val="3"/>
              <c:layout>
                <c:manualLayout>
                  <c:x val="2.7777777777777776E-2"/>
                  <c:y val="-2.732240437158469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C5-4FBF-8939-26CC3B017F53}"/>
                </c:ext>
              </c:extLst>
            </c:dLbl>
            <c:numFmt formatCode="0.0%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Лист2!$A$24:$A$26</c:f>
              <c:strCache>
                <c:ptCount val="3"/>
                <c:pt idx="0">
                  <c:v>Говядина</c:v>
                </c:pt>
                <c:pt idx="1">
                  <c:v>Свинина</c:v>
                </c:pt>
                <c:pt idx="2">
                  <c:v>Баранина</c:v>
                </c:pt>
              </c:strCache>
            </c:strRef>
          </c:cat>
          <c:val>
            <c:numRef>
              <c:f>Лист2!$F$24:$F$26</c:f>
              <c:numCache>
                <c:formatCode>General</c:formatCode>
                <c:ptCount val="3"/>
                <c:pt idx="0">
                  <c:v>282557.73</c:v>
                </c:pt>
                <c:pt idx="1">
                  <c:v>2559407.98</c:v>
                </c:pt>
                <c:pt idx="2">
                  <c:v>12872.94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9C5-4FBF-8939-26CC3B017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4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891485734094559"/>
          <c:y val="0.35356768539525779"/>
          <c:w val="0.26806007739598592"/>
          <c:h val="0.332159971528982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Структура производства мяса птицы, %</a:t>
            </a:r>
          </a:p>
        </c:rich>
      </c:tx>
      <c:layout>
        <c:manualLayout>
          <c:xMode val="edge"/>
          <c:yMode val="edge"/>
          <c:x val="0.16803758020813436"/>
          <c:y val="7.501571809227267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81200586123049E-2"/>
          <c:y val="0.16754657716965707"/>
          <c:w val="0.61714241731513775"/>
          <c:h val="0.754998529748097"/>
        </c:manualLayout>
      </c:layout>
      <c:doughnut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rgbClr val="5B9BD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5F5-4498-9043-2CB6C9201048}"/>
              </c:ext>
            </c:extLst>
          </c:dPt>
          <c:dPt>
            <c:idx val="1"/>
            <c:bubble3D val="0"/>
            <c:spPr>
              <a:solidFill>
                <a:srgbClr val="A5A5A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5F5-4498-9043-2CB6C9201048}"/>
              </c:ext>
            </c:extLst>
          </c:dPt>
          <c:dLbls>
            <c:dLbl>
              <c:idx val="1"/>
              <c:layout>
                <c:manualLayout>
                  <c:x val="8.2000693309562722E-2"/>
                  <c:y val="-5.464480874316939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F5-4498-9043-2CB6C9201048}"/>
                </c:ext>
              </c:extLst>
            </c:dLbl>
            <c:dLbl>
              <c:idx val="2"/>
              <c:layout>
                <c:manualLayout>
                  <c:x val="-5.0157126585591863E-2"/>
                  <c:y val="-2.5045248015777034E-1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F5-4498-9043-2CB6C9201048}"/>
                </c:ext>
              </c:extLst>
            </c:dLbl>
            <c:dLbl>
              <c:idx val="3"/>
              <c:layout>
                <c:manualLayout>
                  <c:x val="2.7777777777777776E-2"/>
                  <c:y val="-2.732240437158469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F5-4498-9043-2CB6C9201048}"/>
                </c:ext>
              </c:extLst>
            </c:dLbl>
            <c:numFmt formatCode="0.0%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Лист2!$A$28:$A$29</c:f>
              <c:strCache>
                <c:ptCount val="2"/>
                <c:pt idx="0">
                  <c:v>Курица</c:v>
                </c:pt>
                <c:pt idx="1">
                  <c:v>Игдейка</c:v>
                </c:pt>
              </c:strCache>
            </c:strRef>
          </c:cat>
          <c:val>
            <c:numRef>
              <c:f>Лист2!$F$28:$F$29</c:f>
              <c:numCache>
                <c:formatCode>General</c:formatCode>
                <c:ptCount val="2"/>
                <c:pt idx="0">
                  <c:v>3973665.5300000003</c:v>
                </c:pt>
                <c:pt idx="1">
                  <c:v>217442.63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5F5-4498-9043-2CB6C9201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4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891485734094559"/>
          <c:y val="0.3535678572497829"/>
          <c:w val="0.26806007739598592"/>
          <c:h val="0.332160114966617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Times New Roman" panose="02020603050405020304" pitchFamily="18" charset="0"/>
              <a:ea typeface="Times New Roman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Сезонная</a:t>
            </a:r>
            <a:r>
              <a:rPr lang="ru-RU" b="1" baseline="0"/>
              <a:t> динамика продаж</a:t>
            </a:r>
            <a:r>
              <a:rPr lang="ru-RU" b="1"/>
              <a:t>, %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'Книга допущений'!$D$131:$O$131</c:f>
              <c:strCache>
                <c:ptCount val="12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  <c:pt idx="8">
                  <c:v>Сентябрь</c:v>
                </c:pt>
                <c:pt idx="9">
                  <c:v>Октябрь</c:v>
                </c:pt>
                <c:pt idx="10">
                  <c:v>Ноябрь</c:v>
                </c:pt>
                <c:pt idx="11">
                  <c:v>Декабрь</c:v>
                </c:pt>
              </c:strCache>
            </c:strRef>
          </c:cat>
          <c:val>
            <c:numRef>
              <c:f>'Книга допущений'!$D$132:$O$132</c:f>
              <c:numCache>
                <c:formatCode>0%</c:formatCode>
                <c:ptCount val="12"/>
                <c:pt idx="0">
                  <c:v>0.8</c:v>
                </c:pt>
                <c:pt idx="1">
                  <c:v>0.7</c:v>
                </c:pt>
                <c:pt idx="2">
                  <c:v>0.8</c:v>
                </c:pt>
                <c:pt idx="3">
                  <c:v>0.7</c:v>
                </c:pt>
                <c:pt idx="4">
                  <c:v>1</c:v>
                </c:pt>
                <c:pt idx="5">
                  <c:v>1.2</c:v>
                </c:pt>
                <c:pt idx="6">
                  <c:v>1.4</c:v>
                </c:pt>
                <c:pt idx="7">
                  <c:v>1.3</c:v>
                </c:pt>
                <c:pt idx="8">
                  <c:v>1</c:v>
                </c:pt>
                <c:pt idx="9">
                  <c:v>0.95</c:v>
                </c:pt>
                <c:pt idx="10">
                  <c:v>0.7</c:v>
                </c:pt>
                <c:pt idx="11">
                  <c:v>1.45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E7-48FF-996F-3F62F954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210304"/>
        <c:axId val="113227968"/>
      </c:lineChart>
      <c:catAx>
        <c:axId val="1382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113227968"/>
        <c:crosses val="autoZero"/>
        <c:auto val="1"/>
        <c:lblAlgn val="ctr"/>
        <c:lblOffset val="100"/>
        <c:noMultiLvlLbl val="0"/>
      </c:catAx>
      <c:valAx>
        <c:axId val="1132279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ln w="6350">
            <a:noFill/>
          </a:ln>
        </c:spPr>
        <c:crossAx val="138210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График вложений, тыс. руб.</a:t>
            </a:r>
          </a:p>
        </c:rich>
      </c:tx>
      <c:layout>
        <c:manualLayout>
          <c:xMode val="edge"/>
          <c:yMode val="edge"/>
          <c:x val="0.34953488180748565"/>
          <c:y val="8.6299892125134836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pattFill prst="pct80">
                <a:fgClr>
                  <a:schemeClr val="tx1">
                    <a:lumMod val="75000"/>
                    <a:lumOff val="25000"/>
                  </a:schemeClr>
                </a:fgClr>
                <a:bgClr>
                  <a:schemeClr val="bg1">
                    <a:lumMod val="50000"/>
                  </a:schemeClr>
                </a:bgClr>
              </a:patt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'Календарный план'!$C$8:$N$9</c:f>
              <c:multiLvlStrCache>
                <c:ptCount val="9"/>
                <c:lvl>
                  <c:pt idx="0">
                    <c:v>Октябрь</c:v>
                  </c:pt>
                  <c:pt idx="1">
                    <c:v>Ноябрь</c:v>
                  </c:pt>
                  <c:pt idx="2">
                    <c:v>Декабрь</c:v>
                  </c:pt>
                  <c:pt idx="3">
                    <c:v>Январь</c:v>
                  </c:pt>
                  <c:pt idx="4">
                    <c:v>Февраль</c:v>
                  </c:pt>
                  <c:pt idx="5">
                    <c:v>Март</c:v>
                  </c:pt>
                  <c:pt idx="6">
                    <c:v>Апрель</c:v>
                  </c:pt>
                  <c:pt idx="7">
                    <c:v>Май</c:v>
                  </c:pt>
                  <c:pt idx="8">
                    <c:v>Июнь</c:v>
                  </c:pt>
                </c:lvl>
                <c:lvl>
                  <c:pt idx="0">
                    <c:v>2020</c:v>
                  </c:pt>
                  <c:pt idx="1">
                    <c:v>2020</c:v>
                  </c:pt>
                  <c:pt idx="2">
                    <c:v>2020</c:v>
                  </c:pt>
                  <c:pt idx="3">
                    <c:v>2021</c:v>
                  </c:pt>
                  <c:pt idx="4">
                    <c:v>2021</c:v>
                  </c:pt>
                  <c:pt idx="5">
                    <c:v>2021</c:v>
                  </c:pt>
                  <c:pt idx="6">
                    <c:v>2021</c:v>
                  </c:pt>
                  <c:pt idx="7">
                    <c:v>2021</c:v>
                  </c:pt>
                  <c:pt idx="8">
                    <c:v>2021</c:v>
                  </c:pt>
                </c:lvl>
              </c:multiLvlStrCache>
            </c:multiLvlStrRef>
          </c:cat>
          <c:val>
            <c:numRef>
              <c:f>'Календарный план'!$C$28:$N$28</c:f>
              <c:numCache>
                <c:formatCode>#,##0</c:formatCode>
                <c:ptCount val="9"/>
                <c:pt idx="0">
                  <c:v>4044.8114880000003</c:v>
                </c:pt>
                <c:pt idx="1">
                  <c:v>11258.019294400001</c:v>
                </c:pt>
                <c:pt idx="2">
                  <c:v>14845.912766400001</c:v>
                </c:pt>
                <c:pt idx="3">
                  <c:v>9616.1168399999988</c:v>
                </c:pt>
                <c:pt idx="4">
                  <c:v>18779.293079999999</c:v>
                </c:pt>
                <c:pt idx="5">
                  <c:v>12429.764360000001</c:v>
                </c:pt>
                <c:pt idx="6">
                  <c:v>9856.1168399999988</c:v>
                </c:pt>
                <c:pt idx="7">
                  <c:v>5766.3524799999996</c:v>
                </c:pt>
                <c:pt idx="8">
                  <c:v>4816.3524799999996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13-4A90-8C32-6E336B9F7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25"/>
        <c:axId val="43626496"/>
        <c:axId val="113362624"/>
      </c:barChart>
      <c:catAx>
        <c:axId val="4362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113362624"/>
        <c:crosses val="autoZero"/>
        <c:auto val="1"/>
        <c:lblAlgn val="ctr"/>
        <c:lblOffset val="100"/>
        <c:noMultiLvlLbl val="0"/>
      </c:catAx>
      <c:valAx>
        <c:axId val="1133626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4362649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/>
              <a:t>Структура</a:t>
            </a:r>
            <a:r>
              <a:rPr lang="ru-RU" baseline="0"/>
              <a:t> вложений</a:t>
            </a:r>
            <a:endParaRPr lang="ru-RU"/>
          </a:p>
        </c:rich>
      </c:tx>
      <c:layout>
        <c:manualLayout>
          <c:xMode val="edge"/>
          <c:yMode val="edge"/>
          <c:x val="0.24142325492895478"/>
          <c:y val="2.0385324174903665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5555555555555558E-3"/>
          <c:y val="0.16754642184249796"/>
          <c:w val="0.61714241731513775"/>
          <c:h val="0.7549985297480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514-4CE0-A747-8BA29651E4C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DE5-4CF0-B57C-62D18489C569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31D-4B77-B884-7595AEE32B78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31D-4B77-B884-7595AEE32B78}"/>
              </c:ext>
            </c:extLst>
          </c:dPt>
          <c:dLbls>
            <c:dLbl>
              <c:idx val="2"/>
              <c:layout>
                <c:manualLayout>
                  <c:x val="1.9071251678279597E-2"/>
                  <c:y val="-1.835232049942383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1D-4B77-B884-7595AEE32B78}"/>
                </c:ext>
              </c:extLst>
            </c:dLbl>
            <c:dLbl>
              <c:idx val="3"/>
              <c:layout>
                <c:manualLayout>
                  <c:x val="2.3542803418229386E-2"/>
                  <c:y val="-2.84514435695538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1D-4B77-B884-7595AEE32B78}"/>
                </c:ext>
              </c:extLst>
            </c:dLbl>
            <c:dLbl>
              <c:idx val="4"/>
              <c:layout>
                <c:manualLayout>
                  <c:x val="3.127221037668796E-2"/>
                  <c:y val="-8.51063829787234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155-4F19-9DD2-C8D8360B188D}"/>
                </c:ext>
              </c:extLst>
            </c:dLbl>
            <c:dLbl>
              <c:idx val="5"/>
              <c:layout>
                <c:manualLayout>
                  <c:x val="-9.0516148168046165E-2"/>
                  <c:y val="8.7353548891494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1D-4B77-B884-7595AEE32B78}"/>
                </c:ext>
              </c:extLst>
            </c:dLbl>
            <c:dLbl>
              <c:idx val="6"/>
              <c:layout>
                <c:manualLayout>
                  <c:x val="2.8429282160625444E-2"/>
                  <c:y val="-3.97163120567375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655-420A-A3B7-4AABA9CE07A7}"/>
                </c:ext>
              </c:extLst>
            </c:dLbl>
            <c:numFmt formatCode="0%" sourceLinked="0"/>
            <c:spPr>
              <a:blipFill dpi="0" rotWithShape="0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(Вложения!$B$11,Вложения!$B$24,Вложения!$B$25,Вложения!$B$28)</c:f>
              <c:strCache>
                <c:ptCount val="4"/>
                <c:pt idx="0">
                  <c:v>Строительство</c:v>
                </c:pt>
                <c:pt idx="1">
                  <c:v>Проектирование</c:v>
                </c:pt>
                <c:pt idx="2">
                  <c:v>Благоустройство</c:v>
                </c:pt>
                <c:pt idx="3">
                  <c:v>Оборотные средства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(Вложения!$B$10,Вложения!$B$11,Вложения!$B$24,Вложения!$B$25,Вложения!$B$28)</c15:sqref>
                  </c15:fullRef>
                </c:ext>
              </c:extLst>
            </c:strRef>
          </c:cat>
          <c:val>
            <c:numRef>
              <c:f>(Вложения!$C$11,Вложения!$C$24,Вложения!$C$25,Вложения!$C$28)</c:f>
              <c:numCache>
                <c:formatCode>#,##0</c:formatCode>
                <c:ptCount val="4"/>
                <c:pt idx="0">
                  <c:v>75723.116652800003</c:v>
                </c:pt>
                <c:pt idx="1">
                  <c:v>8089.6229760000006</c:v>
                </c:pt>
                <c:pt idx="2">
                  <c:v>7600</c:v>
                </c:pt>
                <c:pt idx="3">
                  <c:v>1846.6013519999997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(Вложения!$C$10,Вложения!$C$11,Вложения!$C$24,Вложения!$C$25,Вложения!$C$28)</c15:sqref>
                  </c15:fullRef>
                </c:ext>
              </c:extLst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3-F31D-4B77-B884-7595AEE32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6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63193772420238514"/>
          <c:y val="0.37863762774334064"/>
          <c:w val="0.36806227579761486"/>
          <c:h val="0.34528620092701179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/>
              <a:t>Источники финансирования проекта</a:t>
            </a:r>
          </a:p>
        </c:rich>
      </c:tx>
      <c:layout>
        <c:manualLayout>
          <c:xMode val="edge"/>
          <c:yMode val="edge"/>
          <c:x val="0.25848082422533003"/>
          <c:y val="2.0385324174903665E-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5555555555555558E-3"/>
          <c:y val="0.16754642184249796"/>
          <c:w val="0.61714241731513775"/>
          <c:h val="0.7549985297480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B28-4207-A7F2-FC50378FB79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B28-4207-A7F2-FC50378FB797}"/>
              </c:ext>
            </c:extLst>
          </c:dPt>
          <c:dLbls>
            <c:dLbl>
              <c:idx val="0"/>
              <c:layout>
                <c:manualLayout>
                  <c:x val="1.9071251678279597E-2"/>
                  <c:y val="-1.835232049942383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28-4207-A7F2-FC50378FB797}"/>
                </c:ext>
              </c:extLst>
            </c:dLbl>
            <c:dLbl>
              <c:idx val="1"/>
              <c:layout>
                <c:manualLayout>
                  <c:x val="-7.7294069584585507E-3"/>
                  <c:y val="3.963366281342491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28-4207-A7F2-FC50378FB797}"/>
                </c:ext>
              </c:extLst>
            </c:dLbl>
            <c:dLbl>
              <c:idx val="2"/>
              <c:layout>
                <c:manualLayout>
                  <c:x val="-4.2643923240938165E-2"/>
                  <c:y val="-2.600442772701956E-1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28-4207-A7F2-FC50378FB797}"/>
                </c:ext>
              </c:extLst>
            </c:dLbl>
            <c:dLbl>
              <c:idx val="3"/>
              <c:layout>
                <c:manualLayout>
                  <c:x val="4.3101477986893379E-2"/>
                  <c:y val="-3.1795387278717849E-2"/>
                </c:manualLayout>
              </c:layout>
              <c:numFmt formatCode="0.0%" sourceLinked="0"/>
              <c:spPr>
                <a:blipFill dpi="0" rotWithShape="0">
                  <a:blip xmlns:r="http://schemas.openxmlformats.org/officeDocument/2006/relationships" r:embed="rId1"/>
                  <a:srcRect/>
                  <a:tile tx="0" ty="0" sx="100000" sy="100000" flip="none" algn="tl"/>
                </a:blip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ru-RU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28-4207-A7F2-FC50378FB797}"/>
                </c:ext>
              </c:extLst>
            </c:dLbl>
            <c:spPr>
              <a:blipFill dpi="0" rotWithShape="0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Вложения!$D$9:$E$9</c:f>
              <c:strCache>
                <c:ptCount val="2"/>
                <c:pt idx="0">
                  <c:v>Собственные средства</c:v>
                </c:pt>
                <c:pt idx="1">
                  <c:v>Инвестиции</c:v>
                </c:pt>
              </c:strCache>
            </c:strRef>
          </c:cat>
          <c:val>
            <c:numRef>
              <c:f>Вложения!$D$21:$E$21</c:f>
              <c:numCache>
                <c:formatCode>#,##0</c:formatCode>
                <c:ptCount val="2"/>
                <c:pt idx="0">
                  <c:v>0</c:v>
                </c:pt>
                <c:pt idx="1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EB28-4207-A7F2-FC50378FB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6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61235458470916937"/>
          <c:y val="0.37863762774334064"/>
          <c:w val="0.31840079691531098"/>
          <c:h val="0.3854090579103143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График вложений, тыс. руб.</a:t>
            </a:r>
          </a:p>
        </c:rich>
      </c:tx>
      <c:layout>
        <c:manualLayout>
          <c:xMode val="edge"/>
          <c:yMode val="edge"/>
          <c:x val="0.29995510350978516"/>
          <c:y val="0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326357814042216E-2"/>
          <c:y val="0.19708465267464342"/>
          <c:w val="0.98423249370388566"/>
          <c:h val="0.531556753603997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blipFill dpi="0" rotWithShape="0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Вложения!$F$8:$Q$9</c:f>
              <c:multiLvlStrCache>
                <c:ptCount val="12"/>
                <c:lvl>
                  <c:pt idx="0">
                    <c:v>Октябрь</c:v>
                  </c:pt>
                  <c:pt idx="1">
                    <c:v>Ноябрь</c:v>
                  </c:pt>
                  <c:pt idx="2">
                    <c:v>Декабрь</c:v>
                  </c:pt>
                  <c:pt idx="3">
                    <c:v>Январь</c:v>
                  </c:pt>
                  <c:pt idx="4">
                    <c:v>Февраль</c:v>
                  </c:pt>
                  <c:pt idx="5">
                    <c:v>Март</c:v>
                  </c:pt>
                  <c:pt idx="6">
                    <c:v>Апрель</c:v>
                  </c:pt>
                  <c:pt idx="7">
                    <c:v>Май</c:v>
                  </c:pt>
                  <c:pt idx="8">
                    <c:v>Июнь</c:v>
                  </c:pt>
                  <c:pt idx="9">
                    <c:v>Июль</c:v>
                  </c:pt>
                  <c:pt idx="10">
                    <c:v>Август</c:v>
                  </c:pt>
                  <c:pt idx="11">
                    <c:v>Сентябрь</c:v>
                  </c:pt>
                </c:lvl>
                <c:lvl>
                  <c:pt idx="0">
                    <c:v>2020</c:v>
                  </c:pt>
                  <c:pt idx="1">
                    <c:v>2020</c:v>
                  </c:pt>
                  <c:pt idx="2">
                    <c:v>2020</c:v>
                  </c:pt>
                  <c:pt idx="3">
                    <c:v>2021</c:v>
                  </c:pt>
                  <c:pt idx="4">
                    <c:v>2021</c:v>
                  </c:pt>
                  <c:pt idx="5">
                    <c:v>2021</c:v>
                  </c:pt>
                  <c:pt idx="6">
                    <c:v>2021</c:v>
                  </c:pt>
                  <c:pt idx="7">
                    <c:v>2021</c:v>
                  </c:pt>
                  <c:pt idx="8">
                    <c:v>2021</c:v>
                  </c:pt>
                  <c:pt idx="9">
                    <c:v>2021</c:v>
                  </c:pt>
                  <c:pt idx="10">
                    <c:v>2021</c:v>
                  </c:pt>
                  <c:pt idx="11">
                    <c:v>2021</c:v>
                  </c:pt>
                </c:lvl>
              </c:multiLvlStrCache>
            </c:multiLvlStrRef>
          </c:cat>
          <c:val>
            <c:numRef>
              <c:f>Вложения!$F$33:$O$33</c:f>
              <c:numCache>
                <c:formatCode>#,##0</c:formatCode>
                <c:ptCount val="10"/>
                <c:pt idx="0">
                  <c:v>44168.602488000004</c:v>
                </c:pt>
                <c:pt idx="1">
                  <c:v>11381.8102944</c:v>
                </c:pt>
                <c:pt idx="2">
                  <c:v>14969.7037664</c:v>
                </c:pt>
                <c:pt idx="3">
                  <c:v>9744.8594799999992</c:v>
                </c:pt>
                <c:pt idx="4">
                  <c:v>18908.03572</c:v>
                </c:pt>
                <c:pt idx="5">
                  <c:v>12558.507000000001</c:v>
                </c:pt>
                <c:pt idx="6">
                  <c:v>9984.8594799999992</c:v>
                </c:pt>
                <c:pt idx="7">
                  <c:v>5895.09512</c:v>
                </c:pt>
                <c:pt idx="8">
                  <c:v>5544.7466399999994</c:v>
                </c:pt>
                <c:pt idx="9">
                  <c:v>103.12099200000003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BD-40F5-B456-B870812D6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-7"/>
        <c:axId val="43737088"/>
        <c:axId val="113366080"/>
      </c:barChart>
      <c:catAx>
        <c:axId val="4373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113366080"/>
        <c:crosses val="autoZero"/>
        <c:auto val="1"/>
        <c:lblAlgn val="ctr"/>
        <c:lblOffset val="100"/>
        <c:tickMarkSkip val="1"/>
        <c:noMultiLvlLbl val="0"/>
      </c:catAx>
      <c:valAx>
        <c:axId val="1133660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4373708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r>
              <a:rPr lang="ru-RU" b="1"/>
              <a:t>Прогноз выручки, млн. руб.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Выручка, млн. руб.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pattFill prst="pct80">
                <a:fgClr>
                  <a:schemeClr val="tx1">
                    <a:lumMod val="75000"/>
                    <a:lumOff val="25000"/>
                  </a:schemeClr>
                </a:fgClr>
                <a:bgClr>
                  <a:schemeClr val="bg1">
                    <a:lumMod val="50000"/>
                  </a:schemeClr>
                </a:bgClr>
              </a:patt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Times New Roman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'План продаж'!$C$36:$I$36</c:f>
              <c:numCache>
                <c:formatCode>0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'План продаж'!$C$57:$I$57</c:f>
              <c:numCache>
                <c:formatCode>#,##0.0</c:formatCode>
                <c:ptCount val="7"/>
                <c:pt idx="0">
                  <c:v>0</c:v>
                </c:pt>
                <c:pt idx="1">
                  <c:v>29.025193516800005</c:v>
                </c:pt>
                <c:pt idx="2">
                  <c:v>81.249548769792014</c:v>
                </c:pt>
                <c:pt idx="3">
                  <c:v>86.928644922163187</c:v>
                </c:pt>
                <c:pt idx="4">
                  <c:v>90.405790719049747</c:v>
                </c:pt>
                <c:pt idx="5">
                  <c:v>94.022022347811728</c:v>
                </c:pt>
                <c:pt idx="6">
                  <c:v>97.782903241724227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37A-47BC-9A62-6A0943847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25"/>
        <c:axId val="44115456"/>
        <c:axId val="113367232"/>
      </c:barChart>
      <c:catAx>
        <c:axId val="4411545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113367232"/>
        <c:crosses val="autoZero"/>
        <c:auto val="1"/>
        <c:lblAlgn val="ctr"/>
        <c:lblOffset val="100"/>
        <c:noMultiLvlLbl val="0"/>
      </c:catAx>
      <c:valAx>
        <c:axId val="11336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Times New Roman" panose="02020603050405020304" pitchFamily="18" charset="0"/>
                <a:ea typeface="Times New Roman"/>
                <a:cs typeface="Times New Roman" panose="02020603050405020304" pitchFamily="18" charset="0"/>
              </a:defRPr>
            </a:pPr>
            <a:endParaRPr lang="ru-RU"/>
          </a:p>
        </c:txPr>
        <c:crossAx val="4411545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anose="02020603050405020304" pitchFamily="18" charset="0"/>
          <a:ea typeface="Times New Roman"/>
          <a:cs typeface="Times New Roman" panose="02020603050405020304" pitchFamily="18" charset="0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microsoft.com/office/2007/relationships/hdphoto" Target="../media/hdphoto3.wdp"/><Relationship Id="rId1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microsoft.com/office/2007/relationships/hdphoto" Target="../media/hdphoto3.wdp"/></Relationships>
</file>

<file path=xl/drawings/_rels/drawing12.xml.rels><?xml version="1.0" encoding="UTF-8" standalone="yes"?>
<Relationships xmlns="http://schemas.openxmlformats.org/package/2006/relationships"><Relationship Id="rId2" Type="http://schemas.microsoft.com/office/2007/relationships/hdphoto" Target="../media/hdphoto3.wdp"/><Relationship Id="rId1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3" Type="http://schemas.microsoft.com/office/2007/relationships/hdphoto" Target="../media/hdphoto3.wdp"/><Relationship Id="rId2" Type="http://schemas.openxmlformats.org/officeDocument/2006/relationships/image" Target="../media/image6.png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3" Type="http://schemas.microsoft.com/office/2007/relationships/hdphoto" Target="../media/hdphoto3.wdp"/><Relationship Id="rId2" Type="http://schemas.openxmlformats.org/officeDocument/2006/relationships/image" Target="../media/image6.png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07/relationships/hdphoto" Target="../media/hdphoto2.wdp"/><Relationship Id="rId2" Type="http://schemas.openxmlformats.org/officeDocument/2006/relationships/image" Target="../media/image3.png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microsoft.com/office/2007/relationships/hdphoto" Target="../media/hdphoto1.wdp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7" Type="http://schemas.openxmlformats.org/officeDocument/2006/relationships/chart" Target="../charts/chart13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microsoft.com/office/2007/relationships/hdphoto" Target="../media/hdphoto2.wdp"/><Relationship Id="rId5" Type="http://schemas.openxmlformats.org/officeDocument/2006/relationships/image" Target="../media/image3.png"/><Relationship Id="rId4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microsoft.com/office/2007/relationships/hdphoto" Target="../media/hdphoto2.wdp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microsoft.com/office/2007/relationships/hdphoto" Target="../media/hdphoto3.wdp"/><Relationship Id="rId2" Type="http://schemas.openxmlformats.org/officeDocument/2006/relationships/image" Target="../media/image6.png"/><Relationship Id="rId1" Type="http://schemas.openxmlformats.org/officeDocument/2006/relationships/chart" Target="../charts/chart14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76201</xdr:rowOff>
    </xdr:from>
    <xdr:to>
      <xdr:col>1</xdr:col>
      <xdr:colOff>1381125</xdr:colOff>
      <xdr:row>2</xdr:row>
      <xdr:rowOff>133350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ADD9CD1C-A614-49B6-9F5A-22C16E5C41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47625" y="76201"/>
          <a:ext cx="1724025" cy="6667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0</xdr:col>
      <xdr:colOff>1809750</xdr:colOff>
      <xdr:row>2</xdr:row>
      <xdr:rowOff>133350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EB4141DE-9333-420B-8E12-91664ACED7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85725" y="95250"/>
          <a:ext cx="1724025" cy="6477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676275</xdr:colOff>
      <xdr:row>51</xdr:row>
      <xdr:rowOff>142874</xdr:rowOff>
    </xdr:from>
    <xdr:to>
      <xdr:col>17</xdr:col>
      <xdr:colOff>104775</xdr:colOff>
      <xdr:row>70</xdr:row>
      <xdr:rowOff>9525</xdr:rowOff>
    </xdr:to>
    <xdr:graphicFrame macro="">
      <xdr:nvGraphicFramePr>
        <xdr:cNvPr id="12293" name="Диаграмма 2">
          <a:extLst>
            <a:ext uri="{FF2B5EF4-FFF2-40B4-BE49-F238E27FC236}">
              <a16:creationId xmlns:a16="http://schemas.microsoft.com/office/drawing/2014/main" xmlns="" id="{00000000-0008-0000-0A00-0000053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51</xdr:row>
      <xdr:rowOff>85725</xdr:rowOff>
    </xdr:from>
    <xdr:to>
      <xdr:col>6</xdr:col>
      <xdr:colOff>590550</xdr:colOff>
      <xdr:row>70</xdr:row>
      <xdr:rowOff>152400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104775</xdr:colOff>
      <xdr:row>0</xdr:row>
      <xdr:rowOff>85725</xdr:rowOff>
    </xdr:from>
    <xdr:to>
      <xdr:col>0</xdr:col>
      <xdr:colOff>1828800</xdr:colOff>
      <xdr:row>2</xdr:row>
      <xdr:rowOff>123825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xmlns="" id="{86C60FE2-30C0-4BF7-933D-9CDDCF211B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104775" y="85725"/>
          <a:ext cx="1724025" cy="6477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66675</xdr:rowOff>
    </xdr:from>
    <xdr:to>
      <xdr:col>0</xdr:col>
      <xdr:colOff>1809750</xdr:colOff>
      <xdr:row>2</xdr:row>
      <xdr:rowOff>104775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FF9EF7B9-D7A1-49C8-AD59-642B6D649C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85725" y="66675"/>
          <a:ext cx="1724025" cy="6477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38100</xdr:rowOff>
    </xdr:from>
    <xdr:to>
      <xdr:col>5</xdr:col>
      <xdr:colOff>656590</xdr:colOff>
      <xdr:row>67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2628901</xdr:colOff>
      <xdr:row>50</xdr:row>
      <xdr:rowOff>133349</xdr:rowOff>
    </xdr:from>
    <xdr:to>
      <xdr:col>2</xdr:col>
      <xdr:colOff>152401</xdr:colOff>
      <xdr:row>54</xdr:row>
      <xdr:rowOff>47624</xdr:rowOff>
    </xdr:to>
    <xdr:sp macro="" textlink="">
      <xdr:nvSpPr>
        <xdr:cNvPr id="8" name="Прямоугольник 7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SpPr/>
      </xdr:nvSpPr>
      <xdr:spPr>
        <a:xfrm>
          <a:off x="2628901" y="8315324"/>
          <a:ext cx="1219200" cy="5619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>
            <a:lnSpc>
              <a:spcPct val="115000"/>
            </a:lnSpc>
            <a:spcBef>
              <a:spcPts val="600"/>
            </a:spcBef>
          </a:pPr>
          <a:r>
            <a:rPr lang="ru-RU" sz="1100" i="1">
              <a:solidFill>
                <a:srgbClr val="000000"/>
              </a:solidFill>
              <a:effectLst/>
              <a:latin typeface="Times New Roman" panose="02020603050405020304" pitchFamily="18" charset="0"/>
              <a:ea typeface="SimSun" panose="02010600030101010101" pitchFamily="2" charset="-122"/>
              <a:cs typeface="Times New Roman" panose="02020603050405020304" pitchFamily="18" charset="0"/>
            </a:rPr>
            <a:t>Срок окупаемости проекта </a:t>
          </a:r>
          <a:r>
            <a:rPr lang="en-US" sz="1100" i="1">
              <a:solidFill>
                <a:srgbClr val="000000"/>
              </a:solidFill>
              <a:effectLst/>
              <a:latin typeface="Times New Roman" panose="02020603050405020304" pitchFamily="18" charset="0"/>
              <a:ea typeface="SimSun" panose="02010600030101010101" pitchFamily="2" charset="-122"/>
              <a:cs typeface="Times New Roman" panose="02020603050405020304" pitchFamily="18" charset="0"/>
            </a:rPr>
            <a:t>3,8</a:t>
          </a:r>
          <a:r>
            <a:rPr lang="ru-RU" sz="1100" i="1">
              <a:solidFill>
                <a:srgbClr val="000000"/>
              </a:solidFill>
              <a:effectLst/>
              <a:latin typeface="Times New Roman" panose="02020603050405020304" pitchFamily="18" charset="0"/>
              <a:ea typeface="SimSun" panose="02010600030101010101" pitchFamily="2" charset="-122"/>
              <a:cs typeface="Times New Roman" panose="02020603050405020304" pitchFamily="18" charset="0"/>
            </a:rPr>
            <a:t> года</a:t>
          </a:r>
          <a:endParaRPr lang="ru-RU" sz="1100">
            <a:effectLst/>
            <a:latin typeface="Arial" panose="020B0604020202020204" pitchFamily="34" charset="0"/>
            <a:ea typeface="SimSun" panose="02010600030101010101" pitchFamily="2" charset="-122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609600</xdr:colOff>
      <xdr:row>54</xdr:row>
      <xdr:rowOff>76200</xdr:rowOff>
    </xdr:from>
    <xdr:to>
      <xdr:col>2</xdr:col>
      <xdr:colOff>304800</xdr:colOff>
      <xdr:row>57</xdr:row>
      <xdr:rowOff>85725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xmlns="" id="{00000000-0008-0000-0D00-000009000000}"/>
            </a:ext>
          </a:extLst>
        </xdr:cNvPr>
        <xdr:cNvCxnSpPr/>
      </xdr:nvCxnSpPr>
      <xdr:spPr>
        <a:xfrm>
          <a:off x="3600450" y="8905875"/>
          <a:ext cx="400050" cy="495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152400</xdr:colOff>
      <xdr:row>0</xdr:row>
      <xdr:rowOff>76200</xdr:rowOff>
    </xdr:from>
    <xdr:to>
      <xdr:col>0</xdr:col>
      <xdr:colOff>1876425</xdr:colOff>
      <xdr:row>2</xdr:row>
      <xdr:rowOff>114300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xmlns="" id="{9590F2E1-9E31-4196-9F89-51B6898EB9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152400" y="76200"/>
          <a:ext cx="1724025" cy="6477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114300</xdr:rowOff>
    </xdr:from>
    <xdr:to>
      <xdr:col>6</xdr:col>
      <xdr:colOff>781050</xdr:colOff>
      <xdr:row>59</xdr:row>
      <xdr:rowOff>104775</xdr:rowOff>
    </xdr:to>
    <xdr:graphicFrame macro="">
      <xdr:nvGraphicFramePr>
        <xdr:cNvPr id="17413" name="Диаграмма 5">
          <a:extLst>
            <a:ext uri="{FF2B5EF4-FFF2-40B4-BE49-F238E27FC236}">
              <a16:creationId xmlns:a16="http://schemas.microsoft.com/office/drawing/2014/main" xmlns="" id="{00000000-0008-0000-0E00-0000054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95250</xdr:colOff>
      <xdr:row>0</xdr:row>
      <xdr:rowOff>76200</xdr:rowOff>
    </xdr:from>
    <xdr:to>
      <xdr:col>0</xdr:col>
      <xdr:colOff>1819275</xdr:colOff>
      <xdr:row>2</xdr:row>
      <xdr:rowOff>114300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E2547925-04AF-453D-99F4-B9B3BF46AB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95250" y="76200"/>
          <a:ext cx="1724025" cy="647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200025</xdr:colOff>
      <xdr:row>7</xdr:row>
      <xdr:rowOff>66675</xdr:rowOff>
    </xdr:from>
    <xdr:to>
      <xdr:col>16</xdr:col>
      <xdr:colOff>38100</xdr:colOff>
      <xdr:row>21</xdr:row>
      <xdr:rowOff>85725</xdr:rowOff>
    </xdr:to>
    <xdr:graphicFrame macro="">
      <xdr:nvGraphicFramePr>
        <xdr:cNvPr id="2055" name="Диаграмма 1">
          <a:extLst>
            <a:ext uri="{FF2B5EF4-FFF2-40B4-BE49-F238E27FC236}">
              <a16:creationId xmlns:a16="http://schemas.microsoft.com/office/drawing/2014/main" xmlns="" id="{00000000-0008-0000-0200-00000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21</xdr:row>
      <xdr:rowOff>0</xdr:rowOff>
    </xdr:from>
    <xdr:to>
      <xdr:col>14</xdr:col>
      <xdr:colOff>333375</xdr:colOff>
      <xdr:row>38</xdr:row>
      <xdr:rowOff>57150</xdr:rowOff>
    </xdr:to>
    <xdr:graphicFrame macro="">
      <xdr:nvGraphicFramePr>
        <xdr:cNvPr id="2056" name="Диаграмма 3">
          <a:extLst>
            <a:ext uri="{FF2B5EF4-FFF2-40B4-BE49-F238E27FC236}">
              <a16:creationId xmlns:a16="http://schemas.microsoft.com/office/drawing/2014/main" xmlns="" id="{00000000-0008-0000-0200-00000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257175</xdr:colOff>
      <xdr:row>20</xdr:row>
      <xdr:rowOff>85725</xdr:rowOff>
    </xdr:from>
    <xdr:to>
      <xdr:col>20</xdr:col>
      <xdr:colOff>57150</xdr:colOff>
      <xdr:row>35</xdr:row>
      <xdr:rowOff>180975</xdr:rowOff>
    </xdr:to>
    <xdr:graphicFrame macro="">
      <xdr:nvGraphicFramePr>
        <xdr:cNvPr id="2057" name="Диаграмма 3">
          <a:extLst>
            <a:ext uri="{FF2B5EF4-FFF2-40B4-BE49-F238E27FC236}">
              <a16:creationId xmlns:a16="http://schemas.microsoft.com/office/drawing/2014/main" xmlns="" id="{00000000-0008-0000-0200-00000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155</xdr:row>
      <xdr:rowOff>0</xdr:rowOff>
    </xdr:from>
    <xdr:to>
      <xdr:col>11</xdr:col>
      <xdr:colOff>523875</xdr:colOff>
      <xdr:row>172</xdr:row>
      <xdr:rowOff>38100</xdr:rowOff>
    </xdr:to>
    <xdr:graphicFrame macro="">
      <xdr:nvGraphicFramePr>
        <xdr:cNvPr id="3077" name="Диаграмма 5">
          <a:extLst>
            <a:ext uri="{FF2B5EF4-FFF2-40B4-BE49-F238E27FC236}">
              <a16:creationId xmlns:a16="http://schemas.microsoft.com/office/drawing/2014/main" xmlns="" id="{00000000-0008-0000-0300-000005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47625</xdr:colOff>
      <xdr:row>0</xdr:row>
      <xdr:rowOff>76201</xdr:rowOff>
    </xdr:from>
    <xdr:to>
      <xdr:col>0</xdr:col>
      <xdr:colOff>1771650</xdr:colOff>
      <xdr:row>2</xdr:row>
      <xdr:rowOff>117421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0BCF6C02-B459-4E40-A2DB-9E0C801CA1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47625" y="76201"/>
          <a:ext cx="1724025" cy="6508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1</xdr:col>
      <xdr:colOff>1504950</xdr:colOff>
      <xdr:row>2</xdr:row>
      <xdr:rowOff>117420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F57BC893-6826-43A5-BCDF-E8835EF190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114300" y="76200"/>
          <a:ext cx="1724025" cy="65082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30</xdr:row>
      <xdr:rowOff>123824</xdr:rowOff>
    </xdr:from>
    <xdr:to>
      <xdr:col>12</xdr:col>
      <xdr:colOff>361950</xdr:colOff>
      <xdr:row>48</xdr:row>
      <xdr:rowOff>152399</xdr:rowOff>
    </xdr:to>
    <xdr:graphicFrame macro="">
      <xdr:nvGraphicFramePr>
        <xdr:cNvPr id="4" name="Диаграмма 5">
          <a:extLst>
            <a:ext uri="{FF2B5EF4-FFF2-40B4-BE49-F238E27FC236}">
              <a16:creationId xmlns:a16="http://schemas.microsoft.com/office/drawing/2014/main" xmlns="" id="{B8B0E299-E8BA-4D44-9023-14EC0E95D3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66675</xdr:rowOff>
    </xdr:from>
    <xdr:to>
      <xdr:col>2</xdr:col>
      <xdr:colOff>552450</xdr:colOff>
      <xdr:row>49</xdr:row>
      <xdr:rowOff>38100</xdr:rowOff>
    </xdr:to>
    <xdr:graphicFrame macro="">
      <xdr:nvGraphicFramePr>
        <xdr:cNvPr id="4103" name="Диаграмма 2">
          <a:extLst>
            <a:ext uri="{FF2B5EF4-FFF2-40B4-BE49-F238E27FC236}">
              <a16:creationId xmlns:a16="http://schemas.microsoft.com/office/drawing/2014/main" xmlns="" id="{00000000-0008-0000-0500-000007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495299</xdr:colOff>
      <xdr:row>35</xdr:row>
      <xdr:rowOff>9525</xdr:rowOff>
    </xdr:from>
    <xdr:to>
      <xdr:col>6</xdr:col>
      <xdr:colOff>733423</xdr:colOff>
      <xdr:row>48</xdr:row>
      <xdr:rowOff>142875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438150</xdr:colOff>
      <xdr:row>33</xdr:row>
      <xdr:rowOff>95249</xdr:rowOff>
    </xdr:from>
    <xdr:to>
      <xdr:col>15</xdr:col>
      <xdr:colOff>28576</xdr:colOff>
      <xdr:row>53</xdr:row>
      <xdr:rowOff>28574</xdr:rowOff>
    </xdr:to>
    <xdr:graphicFrame macro="">
      <xdr:nvGraphicFramePr>
        <xdr:cNvPr id="5" name="Диаграмма 5">
          <a:extLst>
            <a:ext uri="{FF2B5EF4-FFF2-40B4-BE49-F238E27FC236}">
              <a16:creationId xmlns:a16="http://schemas.microsoft.com/office/drawing/2014/main" xmlns="" id="{228C3322-EDF2-474B-AD47-3376A135AE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114300</xdr:colOff>
      <xdr:row>0</xdr:row>
      <xdr:rowOff>76200</xdr:rowOff>
    </xdr:from>
    <xdr:to>
      <xdr:col>1</xdr:col>
      <xdr:colOff>1504950</xdr:colOff>
      <xdr:row>2</xdr:row>
      <xdr:rowOff>117420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xmlns="" id="{07362BC3-9EFA-4CCE-88FD-073FAC4AAE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114300" y="76200"/>
          <a:ext cx="1724025" cy="6508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66675</xdr:rowOff>
    </xdr:from>
    <xdr:to>
      <xdr:col>0</xdr:col>
      <xdr:colOff>1828800</xdr:colOff>
      <xdr:row>2</xdr:row>
      <xdr:rowOff>152400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888D2D66-6C20-4938-AE56-5218593B46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104775" y="66675"/>
          <a:ext cx="1724025" cy="6953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228599</xdr:colOff>
      <xdr:row>61</xdr:row>
      <xdr:rowOff>76200</xdr:rowOff>
    </xdr:from>
    <xdr:to>
      <xdr:col>3</xdr:col>
      <xdr:colOff>733425</xdr:colOff>
      <xdr:row>77</xdr:row>
      <xdr:rowOff>95250</xdr:rowOff>
    </xdr:to>
    <xdr:graphicFrame macro="">
      <xdr:nvGraphicFramePr>
        <xdr:cNvPr id="6151" name="Диаграмма 5">
          <a:extLst>
            <a:ext uri="{FF2B5EF4-FFF2-40B4-BE49-F238E27FC236}">
              <a16:creationId xmlns:a16="http://schemas.microsoft.com/office/drawing/2014/main" xmlns="" id="{00000000-0008-0000-0700-000007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62</xdr:row>
      <xdr:rowOff>57150</xdr:rowOff>
    </xdr:from>
    <xdr:to>
      <xdr:col>10</xdr:col>
      <xdr:colOff>257175</xdr:colOff>
      <xdr:row>76</xdr:row>
      <xdr:rowOff>114300</xdr:rowOff>
    </xdr:to>
    <xdr:graphicFrame macro="">
      <xdr:nvGraphicFramePr>
        <xdr:cNvPr id="6152" name="Диаграмма 3">
          <a:extLst>
            <a:ext uri="{FF2B5EF4-FFF2-40B4-BE49-F238E27FC236}">
              <a16:creationId xmlns:a16="http://schemas.microsoft.com/office/drawing/2014/main" xmlns="" id="{00000000-0008-0000-0700-000008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79</xdr:row>
      <xdr:rowOff>95250</xdr:rowOff>
    </xdr:from>
    <xdr:to>
      <xdr:col>5</xdr:col>
      <xdr:colOff>76200</xdr:colOff>
      <xdr:row>96</xdr:row>
      <xdr:rowOff>133350</xdr:rowOff>
    </xdr:to>
    <xdr:graphicFrame macro="">
      <xdr:nvGraphicFramePr>
        <xdr:cNvPr id="10" name="Диаграмма 5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9525</xdr:colOff>
      <xdr:row>61</xdr:row>
      <xdr:rowOff>85725</xdr:rowOff>
    </xdr:from>
    <xdr:to>
      <xdr:col>17</xdr:col>
      <xdr:colOff>76200</xdr:colOff>
      <xdr:row>75</xdr:row>
      <xdr:rowOff>142875</xdr:rowOff>
    </xdr:to>
    <xdr:graphicFrame macro="">
      <xdr:nvGraphicFramePr>
        <xdr:cNvPr id="7" name="Диаграмма 3">
          <a:extLst>
            <a:ext uri="{FF2B5EF4-FFF2-40B4-BE49-F238E27FC236}">
              <a16:creationId xmlns:a16="http://schemas.microsoft.com/office/drawing/2014/main" xmlns="" id="{BA2E727B-83F2-4D97-996A-6173832481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123825</xdr:colOff>
      <xdr:row>0</xdr:row>
      <xdr:rowOff>85725</xdr:rowOff>
    </xdr:from>
    <xdr:to>
      <xdr:col>0</xdr:col>
      <xdr:colOff>1847850</xdr:colOff>
      <xdr:row>2</xdr:row>
      <xdr:rowOff>126945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xmlns="" id="{A227EB73-95B5-4632-BDA2-95F598D0CB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123825" y="85725"/>
          <a:ext cx="1724025" cy="650820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81</xdr:row>
      <xdr:rowOff>19050</xdr:rowOff>
    </xdr:from>
    <xdr:to>
      <xdr:col>13</xdr:col>
      <xdr:colOff>47626</xdr:colOff>
      <xdr:row>97</xdr:row>
      <xdr:rowOff>38100</xdr:rowOff>
    </xdr:to>
    <xdr:graphicFrame macro="">
      <xdr:nvGraphicFramePr>
        <xdr:cNvPr id="9" name="Диаграмма 5">
          <a:extLst>
            <a:ext uri="{FF2B5EF4-FFF2-40B4-BE49-F238E27FC236}">
              <a16:creationId xmlns:a16="http://schemas.microsoft.com/office/drawing/2014/main" xmlns="" id="{DE76CEA2-F57A-4EED-BAA3-47757CD6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0</xdr:col>
      <xdr:colOff>1800225</xdr:colOff>
      <xdr:row>2</xdr:row>
      <xdr:rowOff>136470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797B6BA3-2C5D-4D4A-8A02-CA49E08D1D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76200" y="95250"/>
          <a:ext cx="1724025" cy="6508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37</xdr:row>
      <xdr:rowOff>142875</xdr:rowOff>
    </xdr:from>
    <xdr:to>
      <xdr:col>16</xdr:col>
      <xdr:colOff>514350</xdr:colOff>
      <xdr:row>54</xdr:row>
      <xdr:rowOff>47624</xdr:rowOff>
    </xdr:to>
    <xdr:graphicFrame macro="">
      <xdr:nvGraphicFramePr>
        <xdr:cNvPr id="11269" name="Диаграмма 3">
          <a:extLst>
            <a:ext uri="{FF2B5EF4-FFF2-40B4-BE49-F238E27FC236}">
              <a16:creationId xmlns:a16="http://schemas.microsoft.com/office/drawing/2014/main" xmlns="" id="{00000000-0008-0000-0900-0000052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47625</xdr:colOff>
      <xdr:row>0</xdr:row>
      <xdr:rowOff>85725</xdr:rowOff>
    </xdr:from>
    <xdr:to>
      <xdr:col>0</xdr:col>
      <xdr:colOff>1771650</xdr:colOff>
      <xdr:row>2</xdr:row>
      <xdr:rowOff>123825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xmlns="" id="{04D3E66E-92B4-4ECA-B6B8-8EEBA36D90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2969" r="94922">
                      <a14:foregroundMark x1="3047" y1="62778" x2="9766" y2="38194"/>
                      <a14:foregroundMark x1="6406" y1="33194" x2="6406" y2="33194"/>
                      <a14:foregroundMark x1="6172" y1="32361" x2="6172" y2="32361"/>
                      <a14:foregroundMark x1="35234" y1="49861" x2="35234" y2="49861"/>
                      <a14:foregroundMark x1="47188" y1="49028" x2="47188" y2="49028"/>
                      <a14:foregroundMark x1="58125" y1="50000" x2="58125" y2="50000"/>
                      <a14:foregroundMark x1="70000" y1="45278" x2="70000" y2="45278"/>
                      <a14:foregroundMark x1="75859" y1="46806" x2="75859" y2="46806"/>
                      <a14:foregroundMark x1="87422" y1="47917" x2="87422" y2="47917"/>
                      <a14:foregroundMark x1="94922" y1="51389" x2="94922" y2="51389"/>
                      <a14:foregroundMark x1="31797" y1="61667" x2="31797" y2="61667"/>
                      <a14:foregroundMark x1="32422" y1="63472" x2="32422" y2="63472"/>
                      <a14:foregroundMark x1="2969" y1="62778" x2="2969" y2="6277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111" b="25777"/>
        <a:stretch/>
      </xdr:blipFill>
      <xdr:spPr>
        <a:xfrm>
          <a:off x="47625" y="85725"/>
          <a:ext cx="1724025" cy="647700"/>
        </a:xfrm>
        <a:prstGeom prst="rect">
          <a:avLst/>
        </a:prstGeom>
      </xdr:spPr>
    </xdr:pic>
    <xdr:clientData/>
  </xdr:twoCellAnchor>
  <xdr:twoCellAnchor>
    <xdr:from>
      <xdr:col>9</xdr:col>
      <xdr:colOff>409575</xdr:colOff>
      <xdr:row>72</xdr:row>
      <xdr:rowOff>66675</xdr:rowOff>
    </xdr:from>
    <xdr:to>
      <xdr:col>16</xdr:col>
      <xdr:colOff>381000</xdr:colOff>
      <xdr:row>88</xdr:row>
      <xdr:rowOff>133349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xmlns="" id="{64C23026-BC0D-49E7-A9E1-F42CA5BE95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Желтый и оранжевый">
      <a:dk1>
        <a:sysClr val="windowText" lastClr="000000"/>
      </a:dk1>
      <a:lt1>
        <a:sysClr val="window" lastClr="FFFFFF"/>
      </a:lt1>
      <a:dk2>
        <a:srgbClr val="4E3B30"/>
      </a:dk2>
      <a:lt2>
        <a:srgbClr val="FBEEC9"/>
      </a:lt2>
      <a:accent1>
        <a:srgbClr val="F0A22E"/>
      </a:accent1>
      <a:accent2>
        <a:srgbClr val="A5644E"/>
      </a:accent2>
      <a:accent3>
        <a:srgbClr val="B58B80"/>
      </a:accent3>
      <a:accent4>
        <a:srgbClr val="C3986D"/>
      </a:accent4>
      <a:accent5>
        <a:srgbClr val="A19574"/>
      </a:accent5>
      <a:accent6>
        <a:srgbClr val="C17529"/>
      </a:accent6>
      <a:hlink>
        <a:srgbClr val="AD1F1F"/>
      </a:hlink>
      <a:folHlink>
        <a:srgbClr val="FFC42F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Стандартная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Стандартная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Стандартная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Желтый и оранжевый">
    <a:dk1>
      <a:sysClr val="windowText" lastClr="000000"/>
    </a:dk1>
    <a:lt1>
      <a:sysClr val="window" lastClr="FFFFFF"/>
    </a:lt1>
    <a:dk2>
      <a:srgbClr val="4E3B30"/>
    </a:dk2>
    <a:lt2>
      <a:srgbClr val="FBEEC9"/>
    </a:lt2>
    <a:accent1>
      <a:srgbClr val="F0A22E"/>
    </a:accent1>
    <a:accent2>
      <a:srgbClr val="A5644E"/>
    </a:accent2>
    <a:accent3>
      <a:srgbClr val="B58B80"/>
    </a:accent3>
    <a:accent4>
      <a:srgbClr val="C3986D"/>
    </a:accent4>
    <a:accent5>
      <a:srgbClr val="A19574"/>
    </a:accent5>
    <a:accent6>
      <a:srgbClr val="C17529"/>
    </a:accent6>
    <a:hlink>
      <a:srgbClr val="AD1F1F"/>
    </a:hlink>
    <a:folHlink>
      <a:srgbClr val="FFC42F"/>
    </a:folHlink>
  </a:clrScheme>
  <a:fontScheme name="Стандартная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Желтый и оранжевый">
    <a:dk1>
      <a:sysClr val="windowText" lastClr="000000"/>
    </a:dk1>
    <a:lt1>
      <a:sysClr val="window" lastClr="FFFFFF"/>
    </a:lt1>
    <a:dk2>
      <a:srgbClr val="4E3B30"/>
    </a:dk2>
    <a:lt2>
      <a:srgbClr val="FBEEC9"/>
    </a:lt2>
    <a:accent1>
      <a:srgbClr val="F0A22E"/>
    </a:accent1>
    <a:accent2>
      <a:srgbClr val="A5644E"/>
    </a:accent2>
    <a:accent3>
      <a:srgbClr val="B58B80"/>
    </a:accent3>
    <a:accent4>
      <a:srgbClr val="C3986D"/>
    </a:accent4>
    <a:accent5>
      <a:srgbClr val="A19574"/>
    </a:accent5>
    <a:accent6>
      <a:srgbClr val="C17529"/>
    </a:accent6>
    <a:hlink>
      <a:srgbClr val="AD1F1F"/>
    </a:hlink>
    <a:folHlink>
      <a:srgbClr val="FFC42F"/>
    </a:folHlink>
  </a:clrScheme>
  <a:fontScheme name="Стандартная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Желтый и оранжевый">
    <a:dk1>
      <a:sysClr val="windowText" lastClr="000000"/>
    </a:dk1>
    <a:lt1>
      <a:sysClr val="window" lastClr="FFFFFF"/>
    </a:lt1>
    <a:dk2>
      <a:srgbClr val="4E3B30"/>
    </a:dk2>
    <a:lt2>
      <a:srgbClr val="FBEEC9"/>
    </a:lt2>
    <a:accent1>
      <a:srgbClr val="F0A22E"/>
    </a:accent1>
    <a:accent2>
      <a:srgbClr val="A5644E"/>
    </a:accent2>
    <a:accent3>
      <a:srgbClr val="B58B80"/>
    </a:accent3>
    <a:accent4>
      <a:srgbClr val="C3986D"/>
    </a:accent4>
    <a:accent5>
      <a:srgbClr val="A19574"/>
    </a:accent5>
    <a:accent6>
      <a:srgbClr val="C17529"/>
    </a:accent6>
    <a:hlink>
      <a:srgbClr val="AD1F1F"/>
    </a:hlink>
    <a:folHlink>
      <a:srgbClr val="FFC42F"/>
    </a:folHlink>
  </a:clrScheme>
  <a:fontScheme name="Стандартная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D84"/>
  <sheetViews>
    <sheetView showGridLines="0" workbookViewId="0">
      <selection activeCell="D18" sqref="D18"/>
    </sheetView>
  </sheetViews>
  <sheetFormatPr defaultColWidth="8.77734375" defaultRowHeight="13.2" x14ac:dyDescent="0.25"/>
  <cols>
    <col min="1" max="1" width="6.77734375" customWidth="1"/>
    <col min="2" max="2" width="75.33203125" customWidth="1"/>
    <col min="3" max="3" width="27.77734375" customWidth="1"/>
    <col min="4" max="4" width="13.6640625" customWidth="1"/>
  </cols>
  <sheetData>
    <row r="1" spans="1:4" s="376" customFormat="1" ht="28.5" customHeight="1" x14ac:dyDescent="0.3">
      <c r="A1" s="374" t="s">
        <v>163</v>
      </c>
      <c r="B1" s="375"/>
    </row>
    <row r="2" spans="1:4" s="376" customFormat="1" ht="19.5" customHeight="1" x14ac:dyDescent="0.25">
      <c r="A2" s="380" t="s">
        <v>396</v>
      </c>
      <c r="B2" s="377"/>
    </row>
    <row r="3" spans="1:4" s="376" customFormat="1" ht="15" customHeight="1" x14ac:dyDescent="0.25">
      <c r="A3" s="378"/>
      <c r="B3" s="379"/>
    </row>
    <row r="4" spans="1:4" s="12" customFormat="1" ht="21.75" customHeight="1" x14ac:dyDescent="0.25">
      <c r="A4" s="14"/>
      <c r="B4"/>
    </row>
    <row r="5" spans="1:4" ht="16.5" customHeight="1" x14ac:dyDescent="0.25">
      <c r="A5" s="56" t="s">
        <v>0</v>
      </c>
      <c r="B5" s="37"/>
    </row>
    <row r="6" spans="1:4" x14ac:dyDescent="0.25">
      <c r="A6" s="84"/>
      <c r="B6" s="84" t="s">
        <v>1</v>
      </c>
      <c r="C6" s="84" t="s">
        <v>2</v>
      </c>
      <c r="D6" s="84" t="s">
        <v>3</v>
      </c>
    </row>
    <row r="7" spans="1:4" ht="41.25" customHeight="1" x14ac:dyDescent="0.25">
      <c r="A7" s="85">
        <v>1</v>
      </c>
      <c r="B7" s="86" t="s">
        <v>140</v>
      </c>
      <c r="C7" s="85" t="s">
        <v>141</v>
      </c>
      <c r="D7" s="87" t="s">
        <v>4</v>
      </c>
    </row>
    <row r="8" spans="1:4" ht="26.4" x14ac:dyDescent="0.25">
      <c r="A8" s="85">
        <v>2</v>
      </c>
      <c r="B8" s="86" t="s">
        <v>5</v>
      </c>
      <c r="C8" s="85" t="s">
        <v>6</v>
      </c>
      <c r="D8" s="87" t="s">
        <v>4</v>
      </c>
    </row>
    <row r="9" spans="1:4" x14ac:dyDescent="0.25">
      <c r="A9" s="85">
        <v>3</v>
      </c>
      <c r="B9" s="88" t="s">
        <v>7</v>
      </c>
      <c r="C9" s="85" t="s">
        <v>354</v>
      </c>
      <c r="D9" s="87" t="s">
        <v>4</v>
      </c>
    </row>
    <row r="10" spans="1:4" x14ac:dyDescent="0.25">
      <c r="A10" s="85">
        <v>4</v>
      </c>
      <c r="B10" s="88" t="s">
        <v>355</v>
      </c>
      <c r="C10" s="85" t="s">
        <v>8</v>
      </c>
      <c r="D10" s="87" t="s">
        <v>4</v>
      </c>
    </row>
    <row r="11" spans="1:4" ht="14.25" customHeight="1" x14ac:dyDescent="0.25">
      <c r="A11" s="85">
        <v>5</v>
      </c>
      <c r="B11" s="86" t="s">
        <v>9</v>
      </c>
      <c r="C11" s="85" t="s">
        <v>10</v>
      </c>
      <c r="D11" s="87" t="s">
        <v>4</v>
      </c>
    </row>
    <row r="12" spans="1:4" x14ac:dyDescent="0.25">
      <c r="A12" s="85">
        <v>6</v>
      </c>
      <c r="B12" s="88" t="s">
        <v>11</v>
      </c>
      <c r="C12" s="85" t="s">
        <v>12</v>
      </c>
      <c r="D12" s="87" t="s">
        <v>4</v>
      </c>
    </row>
    <row r="13" spans="1:4" ht="26.4" hidden="1" x14ac:dyDescent="0.25">
      <c r="A13" s="85">
        <v>7</v>
      </c>
      <c r="B13" s="86" t="s">
        <v>13</v>
      </c>
      <c r="C13" s="85" t="s">
        <v>178</v>
      </c>
      <c r="D13" s="87" t="s">
        <v>4</v>
      </c>
    </row>
    <row r="14" spans="1:4" x14ac:dyDescent="0.25">
      <c r="A14" s="85">
        <v>7</v>
      </c>
      <c r="B14" s="88" t="s">
        <v>14</v>
      </c>
      <c r="C14" s="85" t="s">
        <v>15</v>
      </c>
      <c r="D14" s="87" t="s">
        <v>4</v>
      </c>
    </row>
    <row r="15" spans="1:4" x14ac:dyDescent="0.25">
      <c r="A15" s="85">
        <v>8</v>
      </c>
      <c r="B15" s="88" t="s">
        <v>16</v>
      </c>
      <c r="C15" s="85" t="s">
        <v>17</v>
      </c>
      <c r="D15" s="87" t="s">
        <v>4</v>
      </c>
    </row>
    <row r="16" spans="1:4" x14ac:dyDescent="0.25">
      <c r="A16" s="85">
        <v>9</v>
      </c>
      <c r="B16" s="88" t="s">
        <v>142</v>
      </c>
      <c r="C16" s="85" t="s">
        <v>18</v>
      </c>
      <c r="D16" s="87" t="s">
        <v>4</v>
      </c>
    </row>
    <row r="17" spans="1:4" x14ac:dyDescent="0.25">
      <c r="A17" s="85">
        <v>10</v>
      </c>
      <c r="B17" s="88" t="s">
        <v>143</v>
      </c>
      <c r="C17" s="85" t="s">
        <v>19</v>
      </c>
      <c r="D17" s="87" t="s">
        <v>4</v>
      </c>
    </row>
    <row r="18" spans="1:4" x14ac:dyDescent="0.25">
      <c r="A18" s="85">
        <v>11</v>
      </c>
      <c r="B18" s="88" t="s">
        <v>20</v>
      </c>
      <c r="C18" s="85" t="s">
        <v>21</v>
      </c>
      <c r="D18" s="87" t="s">
        <v>4</v>
      </c>
    </row>
    <row r="46" spans="1:1" x14ac:dyDescent="0.25">
      <c r="A46" s="32"/>
    </row>
    <row r="47" spans="1:1" x14ac:dyDescent="0.25">
      <c r="A47" s="32"/>
    </row>
    <row r="84" spans="3:3" x14ac:dyDescent="0.25">
      <c r="C84" s="74"/>
    </row>
  </sheetData>
  <hyperlinks>
    <hyperlink ref="D7" location="'Книга допущений'!A1" display="&gt;&gt;&gt;&gt;"/>
    <hyperlink ref="D9" location="Вложения!A1" display="&gt;&gt;&gt;&gt;"/>
    <hyperlink ref="D10" location="'План продаж'!A1" display="&gt;&gt;&gt;&gt;"/>
    <hyperlink ref="D11" location="ФОТ!A1" display="&gt;&gt;&gt;&gt;"/>
    <hyperlink ref="D12" location="Расходы!A1" display="&gt;&gt;&gt;&gt;"/>
    <hyperlink ref="D14" location="ОФР!A1" display="&gt;&gt;&gt;&gt;"/>
    <hyperlink ref="D15" location="ОДДС!A1" display="&gt;&gt;&gt;&gt;"/>
    <hyperlink ref="D16" location="Налоги!A1" display="&gt;&gt;&gt;&gt;"/>
    <hyperlink ref="D17" location="Фин.показатели!A1" display="&gt;&gt;&gt;&gt;"/>
    <hyperlink ref="D18" location="Риски!A1" display="&gt;&gt;&gt;&gt;"/>
    <hyperlink ref="D13" location="Кредиты!A1" display="&gt;&gt;&gt;&gt;"/>
    <hyperlink ref="D8" location="'Календарный план'!A1" display="&gt;&gt;&gt;&gt;"/>
  </hyperlinks>
  <pageMargins left="0.7" right="0.7" top="0.75" bottom="0.75" header="0.3" footer="0.3"/>
  <pageSetup paperSize="9" orientation="portrait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BX114"/>
  <sheetViews>
    <sheetView showGridLines="0" zoomScaleNormal="100" workbookViewId="0">
      <pane xSplit="1" ySplit="4" topLeftCell="B44" activePane="bottomRight" state="frozen"/>
      <selection activeCell="A8" sqref="A8:G22"/>
      <selection pane="topRight" activeCell="A8" sqref="A8:G22"/>
      <selection pane="bottomLeft" activeCell="A8" sqref="A8:G22"/>
      <selection pane="bottomRight" activeCell="M17" sqref="M17"/>
    </sheetView>
  </sheetViews>
  <sheetFormatPr defaultColWidth="11.6640625" defaultRowHeight="13.2" x14ac:dyDescent="0.25"/>
  <cols>
    <col min="1" max="1" width="47.33203125" style="13" customWidth="1"/>
    <col min="2" max="2" width="17.6640625" style="22" customWidth="1"/>
    <col min="3" max="3" width="16.109375" style="18" customWidth="1"/>
    <col min="4" max="5" width="14.77734375" style="18" customWidth="1"/>
    <col min="6" max="6" width="13.33203125" style="16" customWidth="1"/>
    <col min="7" max="7" width="13.109375" style="13" customWidth="1"/>
    <col min="8" max="8" width="13.44140625" style="18" customWidth="1"/>
    <col min="9" max="9" width="13.109375" style="18" customWidth="1"/>
    <col min="10" max="11" width="11.6640625" style="18" customWidth="1"/>
    <col min="12" max="12" width="12" style="7" customWidth="1"/>
    <col min="13" max="13" width="14.33203125" style="18" customWidth="1"/>
    <col min="14" max="15" width="11.44140625" style="18" customWidth="1"/>
    <col min="16" max="21" width="11.44140625" style="13" customWidth="1"/>
    <col min="22" max="76" width="10.6640625" style="13" customWidth="1"/>
    <col min="77" max="78" width="10.33203125" style="13" customWidth="1"/>
    <col min="79" max="16384" width="11.6640625" style="13"/>
  </cols>
  <sheetData>
    <row r="1" spans="1:76" s="376" customFormat="1" ht="28.5" customHeight="1" x14ac:dyDescent="0.3">
      <c r="A1" s="394" t="s">
        <v>163</v>
      </c>
      <c r="B1" s="375"/>
    </row>
    <row r="2" spans="1:76" s="376" customFormat="1" ht="19.5" customHeight="1" x14ac:dyDescent="0.25">
      <c r="A2" s="393" t="str">
        <f>'Книга допущений'!$A$2</f>
        <v>Парк мобильных домов</v>
      </c>
      <c r="B2" s="377"/>
    </row>
    <row r="3" spans="1:76" s="376" customFormat="1" ht="15" customHeight="1" x14ac:dyDescent="0.25">
      <c r="A3" s="378"/>
      <c r="B3" s="379"/>
    </row>
    <row r="4" spans="1:76" s="12" customFormat="1" ht="21.75" customHeight="1" x14ac:dyDescent="0.25">
      <c r="A4" s="14"/>
      <c r="B4"/>
    </row>
    <row r="5" spans="1:76" x14ac:dyDescent="0.25">
      <c r="A5" s="16" t="s">
        <v>63</v>
      </c>
    </row>
    <row r="6" spans="1:76" x14ac:dyDescent="0.25">
      <c r="A6" s="16"/>
    </row>
    <row r="7" spans="1:76" x14ac:dyDescent="0.25">
      <c r="A7" s="16" t="s">
        <v>137</v>
      </c>
    </row>
    <row r="8" spans="1:76" ht="12.75" customHeight="1" x14ac:dyDescent="0.25">
      <c r="A8" s="207" t="s">
        <v>156</v>
      </c>
      <c r="B8" s="368">
        <f>'План продаж'!C8</f>
        <v>2020</v>
      </c>
      <c r="C8" s="368">
        <f>'План продаж'!D8</f>
        <v>2020</v>
      </c>
      <c r="D8" s="368">
        <f>'План продаж'!E8</f>
        <v>2020</v>
      </c>
      <c r="E8" s="368">
        <f>'План продаж'!F8</f>
        <v>2021</v>
      </c>
      <c r="F8" s="368">
        <f>'План продаж'!G8</f>
        <v>2021</v>
      </c>
      <c r="G8" s="368">
        <f>'План продаж'!H8</f>
        <v>2021</v>
      </c>
      <c r="H8" s="368">
        <f>'План продаж'!I8</f>
        <v>2021</v>
      </c>
      <c r="I8" s="368">
        <f>'План продаж'!J8</f>
        <v>2021</v>
      </c>
      <c r="J8" s="368">
        <f>'План продаж'!K8</f>
        <v>2021</v>
      </c>
      <c r="K8" s="368">
        <f>'План продаж'!L8</f>
        <v>2021</v>
      </c>
      <c r="L8" s="368">
        <f>'План продаж'!M8</f>
        <v>2021</v>
      </c>
      <c r="M8" s="368">
        <f>'План продаж'!N8</f>
        <v>2021</v>
      </c>
      <c r="N8" s="368">
        <f>'План продаж'!O8</f>
        <v>2021</v>
      </c>
      <c r="O8" s="368">
        <f>'План продаж'!P8</f>
        <v>2021</v>
      </c>
      <c r="P8" s="368">
        <f>'План продаж'!Q8</f>
        <v>2021</v>
      </c>
      <c r="Q8" s="368">
        <f>'План продаж'!R8</f>
        <v>2022</v>
      </c>
      <c r="R8" s="368">
        <f>'План продаж'!S8</f>
        <v>2022</v>
      </c>
      <c r="S8" s="368">
        <f>'План продаж'!T8</f>
        <v>2022</v>
      </c>
      <c r="T8" s="368">
        <f>'План продаж'!U8</f>
        <v>2022</v>
      </c>
      <c r="U8" s="368">
        <f>'План продаж'!V8</f>
        <v>2022</v>
      </c>
      <c r="V8" s="368">
        <f>'План продаж'!W8</f>
        <v>2022</v>
      </c>
      <c r="W8" s="368">
        <f>'План продаж'!X8</f>
        <v>2022</v>
      </c>
      <c r="X8" s="368">
        <f>'План продаж'!Y8</f>
        <v>2022</v>
      </c>
      <c r="Y8" s="368">
        <f>'План продаж'!Z8</f>
        <v>2022</v>
      </c>
      <c r="Z8" s="368">
        <f>'План продаж'!AA8</f>
        <v>2022</v>
      </c>
      <c r="AA8" s="368">
        <f>'План продаж'!AB8</f>
        <v>2022</v>
      </c>
      <c r="AB8" s="368">
        <f>'План продаж'!AC8</f>
        <v>2022</v>
      </c>
      <c r="AC8" s="368">
        <f>'План продаж'!AD8</f>
        <v>2023</v>
      </c>
      <c r="AD8" s="368">
        <f>'План продаж'!AE8</f>
        <v>2023</v>
      </c>
      <c r="AE8" s="368">
        <f>'План продаж'!AF8</f>
        <v>2023</v>
      </c>
      <c r="AF8" s="368">
        <f>'План продаж'!AG8</f>
        <v>2023</v>
      </c>
      <c r="AG8" s="368">
        <f>'План продаж'!AH8</f>
        <v>2023</v>
      </c>
      <c r="AH8" s="368">
        <f>'План продаж'!AI8</f>
        <v>2023</v>
      </c>
      <c r="AI8" s="368">
        <f>'План продаж'!AJ8</f>
        <v>2023</v>
      </c>
      <c r="AJ8" s="368">
        <f>'План продаж'!AK8</f>
        <v>2023</v>
      </c>
      <c r="AK8" s="368">
        <f>'План продаж'!AL8</f>
        <v>2023</v>
      </c>
      <c r="AL8" s="368">
        <f>'План продаж'!AM8</f>
        <v>2023</v>
      </c>
      <c r="AM8" s="368">
        <f>'План продаж'!AN8</f>
        <v>2023</v>
      </c>
      <c r="AN8" s="368">
        <f>'План продаж'!AO8</f>
        <v>2023</v>
      </c>
      <c r="AO8" s="368">
        <f>'План продаж'!AP8</f>
        <v>2024</v>
      </c>
      <c r="AP8" s="368">
        <f>'План продаж'!AQ8</f>
        <v>2024</v>
      </c>
      <c r="AQ8" s="368">
        <f>'План продаж'!AR8</f>
        <v>2024</v>
      </c>
      <c r="AR8" s="368">
        <f>'План продаж'!AS8</f>
        <v>2024</v>
      </c>
      <c r="AS8" s="368">
        <f>'План продаж'!AT8</f>
        <v>2024</v>
      </c>
      <c r="AT8" s="368">
        <f>'План продаж'!AU8</f>
        <v>2024</v>
      </c>
      <c r="AU8" s="368">
        <f>'План продаж'!AV8</f>
        <v>2024</v>
      </c>
      <c r="AV8" s="368">
        <f>'План продаж'!AW8</f>
        <v>2024</v>
      </c>
      <c r="AW8" s="368">
        <f>'План продаж'!AX8</f>
        <v>2024</v>
      </c>
      <c r="AX8" s="368">
        <f>'План продаж'!AY8</f>
        <v>2024</v>
      </c>
      <c r="AY8" s="368">
        <f>'План продаж'!AZ8</f>
        <v>2024</v>
      </c>
      <c r="AZ8" s="368">
        <f>'План продаж'!BA8</f>
        <v>2024</v>
      </c>
      <c r="BA8" s="368">
        <f>'План продаж'!BB8</f>
        <v>2025</v>
      </c>
      <c r="BB8" s="368">
        <f>'План продаж'!BC8</f>
        <v>2025</v>
      </c>
      <c r="BC8" s="368">
        <f>'План продаж'!BD8</f>
        <v>2025</v>
      </c>
      <c r="BD8" s="368">
        <f>'План продаж'!BE8</f>
        <v>2025</v>
      </c>
      <c r="BE8" s="368">
        <f>'План продаж'!BF8</f>
        <v>2025</v>
      </c>
      <c r="BF8" s="368">
        <f>'План продаж'!BG8</f>
        <v>2025</v>
      </c>
      <c r="BG8" s="368">
        <f>'План продаж'!BH8</f>
        <v>2025</v>
      </c>
      <c r="BH8" s="368">
        <f>'План продаж'!BI8</f>
        <v>2025</v>
      </c>
      <c r="BI8" s="368">
        <f>'План продаж'!BJ8</f>
        <v>2025</v>
      </c>
      <c r="BJ8" s="368">
        <f>'План продаж'!BK8</f>
        <v>2025</v>
      </c>
      <c r="BK8" s="368">
        <f>'План продаж'!BL8</f>
        <v>2025</v>
      </c>
      <c r="BL8" s="368">
        <f>'План продаж'!BM8</f>
        <v>2025</v>
      </c>
      <c r="BM8" s="368">
        <f>'План продаж'!BN8</f>
        <v>2026</v>
      </c>
      <c r="BN8" s="368">
        <f>'План продаж'!BO8</f>
        <v>2026</v>
      </c>
      <c r="BO8" s="368">
        <f>'План продаж'!BP8</f>
        <v>2026</v>
      </c>
      <c r="BP8" s="368">
        <f>'План продаж'!BQ8</f>
        <v>2026</v>
      </c>
      <c r="BQ8" s="368">
        <f>'План продаж'!BR8</f>
        <v>2026</v>
      </c>
      <c r="BR8" s="368">
        <f>'План продаж'!BS8</f>
        <v>2026</v>
      </c>
      <c r="BS8" s="368">
        <f>'План продаж'!BT8</f>
        <v>2026</v>
      </c>
      <c r="BT8" s="368">
        <f>'План продаж'!BU8</f>
        <v>2026</v>
      </c>
      <c r="BU8" s="368">
        <f>'План продаж'!BV8</f>
        <v>2026</v>
      </c>
      <c r="BV8" s="368">
        <f>'План продаж'!BW8</f>
        <v>2026</v>
      </c>
      <c r="BW8" s="368">
        <f>'План продаж'!BX8</f>
        <v>2026</v>
      </c>
      <c r="BX8" s="368">
        <f>'План продаж'!BY8</f>
        <v>2026</v>
      </c>
    </row>
    <row r="9" spans="1:76" ht="12.75" customHeight="1" x14ac:dyDescent="0.25">
      <c r="A9" s="289"/>
      <c r="B9" s="367">
        <f>'План продаж'!C9</f>
        <v>44106</v>
      </c>
      <c r="C9" s="367">
        <f>'План продаж'!D9</f>
        <v>44137</v>
      </c>
      <c r="D9" s="367">
        <f>'План продаж'!E9</f>
        <v>44167</v>
      </c>
      <c r="E9" s="367">
        <f>'План продаж'!F9</f>
        <v>44198</v>
      </c>
      <c r="F9" s="367">
        <f>'План продаж'!G9</f>
        <v>44229</v>
      </c>
      <c r="G9" s="367">
        <f>'План продаж'!H9</f>
        <v>44257</v>
      </c>
      <c r="H9" s="367">
        <f>'План продаж'!I9</f>
        <v>44288</v>
      </c>
      <c r="I9" s="367">
        <f>'План продаж'!J9</f>
        <v>44318</v>
      </c>
      <c r="J9" s="367">
        <f>'План продаж'!K9</f>
        <v>44349</v>
      </c>
      <c r="K9" s="367">
        <f>'План продаж'!L9</f>
        <v>44379</v>
      </c>
      <c r="L9" s="367">
        <f>'План продаж'!M9</f>
        <v>44410</v>
      </c>
      <c r="M9" s="367">
        <f>'План продаж'!N9</f>
        <v>44441</v>
      </c>
      <c r="N9" s="367">
        <f>'План продаж'!O9</f>
        <v>44471</v>
      </c>
      <c r="O9" s="367">
        <f>'План продаж'!P9</f>
        <v>44502</v>
      </c>
      <c r="P9" s="367">
        <f>'План продаж'!Q9</f>
        <v>44532</v>
      </c>
      <c r="Q9" s="367">
        <f>'План продаж'!R9</f>
        <v>44563</v>
      </c>
      <c r="R9" s="367">
        <f>'План продаж'!S9</f>
        <v>44594</v>
      </c>
      <c r="S9" s="367">
        <f>'План продаж'!T9</f>
        <v>44622</v>
      </c>
      <c r="T9" s="367">
        <f>'План продаж'!U9</f>
        <v>44653</v>
      </c>
      <c r="U9" s="367">
        <f>'План продаж'!V9</f>
        <v>44683</v>
      </c>
      <c r="V9" s="367">
        <f>'План продаж'!W9</f>
        <v>44714</v>
      </c>
      <c r="W9" s="367">
        <f>'План продаж'!X9</f>
        <v>44744</v>
      </c>
      <c r="X9" s="367">
        <f>'План продаж'!Y9</f>
        <v>44775</v>
      </c>
      <c r="Y9" s="367">
        <f>'План продаж'!Z9</f>
        <v>44806</v>
      </c>
      <c r="Z9" s="367">
        <f>'План продаж'!AA9</f>
        <v>44836</v>
      </c>
      <c r="AA9" s="367">
        <f>'План продаж'!AB9</f>
        <v>44867</v>
      </c>
      <c r="AB9" s="367">
        <f>'План продаж'!AC9</f>
        <v>44897</v>
      </c>
      <c r="AC9" s="367">
        <f>'План продаж'!AD9</f>
        <v>44928</v>
      </c>
      <c r="AD9" s="367">
        <f>'План продаж'!AE9</f>
        <v>44959</v>
      </c>
      <c r="AE9" s="367">
        <f>'План продаж'!AF9</f>
        <v>44987</v>
      </c>
      <c r="AF9" s="367">
        <f>'План продаж'!AG9</f>
        <v>45018</v>
      </c>
      <c r="AG9" s="367">
        <f>'План продаж'!AH9</f>
        <v>45048</v>
      </c>
      <c r="AH9" s="367">
        <f>'План продаж'!AI9</f>
        <v>45079</v>
      </c>
      <c r="AI9" s="367">
        <f>'План продаж'!AJ9</f>
        <v>45109</v>
      </c>
      <c r="AJ9" s="367">
        <f>'План продаж'!AK9</f>
        <v>45140</v>
      </c>
      <c r="AK9" s="367">
        <f>'План продаж'!AL9</f>
        <v>45171</v>
      </c>
      <c r="AL9" s="367">
        <f>'План продаж'!AM9</f>
        <v>45201</v>
      </c>
      <c r="AM9" s="367">
        <f>'План продаж'!AN9</f>
        <v>45232</v>
      </c>
      <c r="AN9" s="367">
        <f>'План продаж'!AO9</f>
        <v>45262</v>
      </c>
      <c r="AO9" s="367">
        <f>'План продаж'!AP9</f>
        <v>45293</v>
      </c>
      <c r="AP9" s="367">
        <f>'План продаж'!AQ9</f>
        <v>45324</v>
      </c>
      <c r="AQ9" s="367">
        <f>'План продаж'!AR9</f>
        <v>45353</v>
      </c>
      <c r="AR9" s="367">
        <f>'План продаж'!AS9</f>
        <v>45384</v>
      </c>
      <c r="AS9" s="367">
        <f>'План продаж'!AT9</f>
        <v>45414</v>
      </c>
      <c r="AT9" s="367">
        <f>'План продаж'!AU9</f>
        <v>45445</v>
      </c>
      <c r="AU9" s="367">
        <f>'План продаж'!AV9</f>
        <v>45475</v>
      </c>
      <c r="AV9" s="367">
        <f>'План продаж'!AW9</f>
        <v>45506</v>
      </c>
      <c r="AW9" s="367">
        <f>'План продаж'!AX9</f>
        <v>45537</v>
      </c>
      <c r="AX9" s="367">
        <f>'План продаж'!AY9</f>
        <v>45567</v>
      </c>
      <c r="AY9" s="367">
        <f>'План продаж'!AZ9</f>
        <v>45598</v>
      </c>
      <c r="AZ9" s="367">
        <f>'План продаж'!BA9</f>
        <v>45628</v>
      </c>
      <c r="BA9" s="367">
        <f>'План продаж'!BB9</f>
        <v>45659</v>
      </c>
      <c r="BB9" s="367">
        <f>'План продаж'!BC9</f>
        <v>45690</v>
      </c>
      <c r="BC9" s="367">
        <f>'План продаж'!BD9</f>
        <v>45718</v>
      </c>
      <c r="BD9" s="367">
        <f>'План продаж'!BE9</f>
        <v>45749</v>
      </c>
      <c r="BE9" s="367">
        <f>'План продаж'!BF9</f>
        <v>45779</v>
      </c>
      <c r="BF9" s="367">
        <f>'План продаж'!BG9</f>
        <v>45810</v>
      </c>
      <c r="BG9" s="367">
        <f>'План продаж'!BH9</f>
        <v>45840</v>
      </c>
      <c r="BH9" s="367">
        <f>'План продаж'!BI9</f>
        <v>45871</v>
      </c>
      <c r="BI9" s="367">
        <f>'План продаж'!BJ9</f>
        <v>45902</v>
      </c>
      <c r="BJ9" s="367">
        <f>'План продаж'!BK9</f>
        <v>45932</v>
      </c>
      <c r="BK9" s="367">
        <f>'План продаж'!BL9</f>
        <v>45963</v>
      </c>
      <c r="BL9" s="367">
        <f>'План продаж'!BM9</f>
        <v>45993</v>
      </c>
      <c r="BM9" s="367">
        <f>'План продаж'!BN9</f>
        <v>46024</v>
      </c>
      <c r="BN9" s="367">
        <f>'План продаж'!BO9</f>
        <v>46055</v>
      </c>
      <c r="BO9" s="367">
        <f>'План продаж'!BP9</f>
        <v>46083</v>
      </c>
      <c r="BP9" s="367">
        <f>'План продаж'!BQ9</f>
        <v>46114</v>
      </c>
      <c r="BQ9" s="367">
        <f>'План продаж'!BR9</f>
        <v>46144</v>
      </c>
      <c r="BR9" s="367">
        <f>'План продаж'!BS9</f>
        <v>46175</v>
      </c>
      <c r="BS9" s="367">
        <f>'План продаж'!BT9</f>
        <v>46205</v>
      </c>
      <c r="BT9" s="367">
        <f>'План продаж'!BU9</f>
        <v>46236</v>
      </c>
      <c r="BU9" s="367">
        <f>'План продаж'!BV9</f>
        <v>46267</v>
      </c>
      <c r="BV9" s="367">
        <f>'План продаж'!BW9</f>
        <v>46297</v>
      </c>
      <c r="BW9" s="367">
        <f>'План продаж'!BX9</f>
        <v>46328</v>
      </c>
      <c r="BX9" s="367">
        <f>'План продаж'!BY9</f>
        <v>46358</v>
      </c>
    </row>
    <row r="10" spans="1:76" ht="12.75" hidden="1" customHeight="1" x14ac:dyDescent="0.25">
      <c r="A10" s="123"/>
      <c r="B10" s="140">
        <f>'План продаж'!C11</f>
        <v>0</v>
      </c>
      <c r="C10" s="140">
        <f>'План продаж'!D11</f>
        <v>0</v>
      </c>
      <c r="D10" s="140">
        <f>'План продаж'!E11</f>
        <v>0</v>
      </c>
      <c r="E10" s="140">
        <f>'План продаж'!F11</f>
        <v>1</v>
      </c>
      <c r="F10" s="140">
        <f>'План продаж'!G11</f>
        <v>1</v>
      </c>
      <c r="G10" s="140">
        <f>'План продаж'!H11</f>
        <v>1</v>
      </c>
      <c r="H10" s="140">
        <f>'План продаж'!I11</f>
        <v>1</v>
      </c>
      <c r="I10" s="140">
        <f>'План продаж'!J11</f>
        <v>1</v>
      </c>
      <c r="J10" s="140">
        <f>'План продаж'!K11</f>
        <v>1</v>
      </c>
      <c r="K10" s="140">
        <f>'План продаж'!L11</f>
        <v>1</v>
      </c>
      <c r="L10" s="140">
        <f>'План продаж'!M11</f>
        <v>1</v>
      </c>
      <c r="M10" s="140">
        <f>'План продаж'!N11</f>
        <v>1</v>
      </c>
      <c r="N10" s="140">
        <f>'План продаж'!O11</f>
        <v>1</v>
      </c>
      <c r="O10" s="140">
        <f>'План продаж'!P11</f>
        <v>1</v>
      </c>
      <c r="P10" s="140">
        <f>'План продаж'!Q11</f>
        <v>1</v>
      </c>
      <c r="Q10" s="140">
        <f>'План продаж'!R11</f>
        <v>2</v>
      </c>
      <c r="R10" s="140">
        <f>'План продаж'!S11</f>
        <v>2</v>
      </c>
      <c r="S10" s="140">
        <f>'План продаж'!T11</f>
        <v>2</v>
      </c>
      <c r="T10" s="140">
        <f>'План продаж'!U11</f>
        <v>2</v>
      </c>
      <c r="U10" s="140">
        <f>'План продаж'!V11</f>
        <v>2</v>
      </c>
      <c r="V10" s="140">
        <f>'План продаж'!W11</f>
        <v>2</v>
      </c>
      <c r="W10" s="140">
        <f>'План продаж'!X11</f>
        <v>2</v>
      </c>
      <c r="X10" s="140">
        <f>'План продаж'!Y11</f>
        <v>2</v>
      </c>
      <c r="Y10" s="140">
        <f>'План продаж'!Z11</f>
        <v>2</v>
      </c>
      <c r="Z10" s="140">
        <f>'План продаж'!AA11</f>
        <v>2</v>
      </c>
      <c r="AA10" s="140">
        <f>'План продаж'!AB11</f>
        <v>2</v>
      </c>
      <c r="AB10" s="140">
        <f>'План продаж'!AC11</f>
        <v>2</v>
      </c>
      <c r="AC10" s="140">
        <f>'План продаж'!AD11</f>
        <v>3</v>
      </c>
      <c r="AD10" s="140">
        <f>'План продаж'!AE11</f>
        <v>3</v>
      </c>
      <c r="AE10" s="140">
        <f>'План продаж'!AF11</f>
        <v>3</v>
      </c>
      <c r="AF10" s="140">
        <f>'План продаж'!AG11</f>
        <v>3</v>
      </c>
      <c r="AG10" s="140">
        <f>'План продаж'!AH11</f>
        <v>3</v>
      </c>
      <c r="AH10" s="140">
        <f>'План продаж'!AI11</f>
        <v>3</v>
      </c>
      <c r="AI10" s="140">
        <f>'План продаж'!AJ11</f>
        <v>3</v>
      </c>
      <c r="AJ10" s="140">
        <f>'План продаж'!AK11</f>
        <v>3</v>
      </c>
      <c r="AK10" s="140">
        <f>'План продаж'!AL11</f>
        <v>3</v>
      </c>
      <c r="AL10" s="140">
        <f>'План продаж'!AM11</f>
        <v>3</v>
      </c>
      <c r="AM10" s="140">
        <f>'План продаж'!AN11</f>
        <v>3</v>
      </c>
      <c r="AN10" s="140">
        <f>'План продаж'!AO11</f>
        <v>3</v>
      </c>
      <c r="AO10" s="140">
        <f>'План продаж'!AP11</f>
        <v>4</v>
      </c>
      <c r="AP10" s="140">
        <f>'План продаж'!AQ11</f>
        <v>4</v>
      </c>
      <c r="AQ10" s="140">
        <f>'План продаж'!AR11</f>
        <v>4</v>
      </c>
      <c r="AR10" s="140">
        <f>'План продаж'!AS11</f>
        <v>4</v>
      </c>
      <c r="AS10" s="140">
        <f>'План продаж'!AT11</f>
        <v>4</v>
      </c>
      <c r="AT10" s="140">
        <f>'План продаж'!AU11</f>
        <v>4</v>
      </c>
      <c r="AU10" s="140">
        <f>'План продаж'!AV11</f>
        <v>4</v>
      </c>
      <c r="AV10" s="140">
        <f>'План продаж'!AW11</f>
        <v>4</v>
      </c>
      <c r="AW10" s="140">
        <f>'План продаж'!AX11</f>
        <v>4</v>
      </c>
      <c r="AX10" s="140">
        <f>'План продаж'!AY11</f>
        <v>4</v>
      </c>
      <c r="AY10" s="140">
        <f>'План продаж'!AZ11</f>
        <v>4</v>
      </c>
      <c r="AZ10" s="140">
        <f>'План продаж'!BA11</f>
        <v>4</v>
      </c>
      <c r="BA10" s="140">
        <f>'План продаж'!BB11</f>
        <v>5</v>
      </c>
      <c r="BB10" s="140">
        <f>'План продаж'!BC11</f>
        <v>5</v>
      </c>
      <c r="BC10" s="140">
        <f>'План продаж'!BD11</f>
        <v>5</v>
      </c>
      <c r="BD10" s="140">
        <f>'План продаж'!BE11</f>
        <v>5</v>
      </c>
      <c r="BE10" s="140">
        <f>'План продаж'!BF11</f>
        <v>5</v>
      </c>
      <c r="BF10" s="140">
        <f>'План продаж'!BG11</f>
        <v>5</v>
      </c>
      <c r="BG10" s="140">
        <f>'План продаж'!BH11</f>
        <v>5</v>
      </c>
      <c r="BH10" s="140">
        <f>'План продаж'!BI11</f>
        <v>5</v>
      </c>
      <c r="BI10" s="140">
        <f>'План продаж'!BJ11</f>
        <v>5</v>
      </c>
      <c r="BJ10" s="140">
        <f>'План продаж'!BK11</f>
        <v>5</v>
      </c>
      <c r="BK10" s="140">
        <f>'План продаж'!BL11</f>
        <v>5</v>
      </c>
      <c r="BL10" s="140">
        <f>'План продаж'!BM11</f>
        <v>5</v>
      </c>
      <c r="BM10" s="140">
        <f>'План продаж'!BN11</f>
        <v>6</v>
      </c>
      <c r="BN10" s="140">
        <f>'План продаж'!BO11</f>
        <v>6</v>
      </c>
      <c r="BO10" s="140">
        <f>'План продаж'!BP11</f>
        <v>6</v>
      </c>
      <c r="BP10" s="140">
        <f>'План продаж'!BQ11</f>
        <v>6</v>
      </c>
      <c r="BQ10" s="140">
        <f>'План продаж'!BR11</f>
        <v>6</v>
      </c>
      <c r="BR10" s="140">
        <f>'План продаж'!BS11</f>
        <v>6</v>
      </c>
      <c r="BS10" s="140">
        <f>'План продаж'!BT11</f>
        <v>6</v>
      </c>
      <c r="BT10" s="140">
        <f>'План продаж'!BU11</f>
        <v>6</v>
      </c>
      <c r="BU10" s="140">
        <f>'План продаж'!BV11</f>
        <v>6</v>
      </c>
      <c r="BV10" s="140">
        <f>'План продаж'!BW11</f>
        <v>6</v>
      </c>
      <c r="BW10" s="140">
        <f>'План продаж'!BX11</f>
        <v>6</v>
      </c>
      <c r="BX10" s="140">
        <f>'План продаж'!BY11</f>
        <v>6</v>
      </c>
    </row>
    <row r="11" spans="1:76" ht="12.75" customHeight="1" x14ac:dyDescent="0.25">
      <c r="A11" s="131" t="s">
        <v>65</v>
      </c>
      <c r="B11" s="127">
        <f t="shared" ref="B11:AG11" si="0">SUM(B12:B23)</f>
        <v>123.791</v>
      </c>
      <c r="C11" s="127">
        <f t="shared" si="0"/>
        <v>123.791</v>
      </c>
      <c r="D11" s="127">
        <f t="shared" si="0"/>
        <v>123.791</v>
      </c>
      <c r="E11" s="127">
        <f t="shared" si="0"/>
        <v>128.74263999999999</v>
      </c>
      <c r="F11" s="127">
        <f t="shared" si="0"/>
        <v>128.74263999999999</v>
      </c>
      <c r="G11" s="127">
        <f t="shared" si="0"/>
        <v>128.74263999999999</v>
      </c>
      <c r="H11" s="127">
        <f t="shared" si="0"/>
        <v>128.74263999999999</v>
      </c>
      <c r="I11" s="127">
        <f t="shared" si="0"/>
        <v>128.74263999999999</v>
      </c>
      <c r="J11" s="127">
        <f t="shared" si="0"/>
        <v>380.33943999999997</v>
      </c>
      <c r="K11" s="127">
        <f t="shared" si="0"/>
        <v>1780.011901766095</v>
      </c>
      <c r="L11" s="127">
        <f t="shared" si="0"/>
        <v>2156.3299949871875</v>
      </c>
      <c r="M11" s="127">
        <f t="shared" si="0"/>
        <v>2155.2528882082793</v>
      </c>
      <c r="N11" s="127">
        <f t="shared" si="0"/>
        <v>2154.1757814293715</v>
      </c>
      <c r="O11" s="127">
        <f t="shared" si="0"/>
        <v>2153.0986746504636</v>
      </c>
      <c r="P11" s="127">
        <f t="shared" si="0"/>
        <v>2152.0215678715558</v>
      </c>
      <c r="Q11" s="127">
        <f t="shared" si="0"/>
        <v>2206.3419746926475</v>
      </c>
      <c r="R11" s="127">
        <f t="shared" si="0"/>
        <v>2205.2648679137396</v>
      </c>
      <c r="S11" s="127">
        <f t="shared" si="0"/>
        <v>2204.1877611348318</v>
      </c>
      <c r="T11" s="127">
        <f t="shared" si="0"/>
        <v>2203.110654355924</v>
      </c>
      <c r="U11" s="127">
        <f t="shared" si="0"/>
        <v>2202.0335475770157</v>
      </c>
      <c r="V11" s="127">
        <f t="shared" si="0"/>
        <v>2200.9564407981079</v>
      </c>
      <c r="W11" s="127">
        <f t="shared" si="0"/>
        <v>2199.8793340192001</v>
      </c>
      <c r="X11" s="127">
        <f t="shared" si="0"/>
        <v>2198.8022272402918</v>
      </c>
      <c r="Y11" s="127">
        <f t="shared" si="0"/>
        <v>2197.725120461384</v>
      </c>
      <c r="Z11" s="127">
        <f t="shared" si="0"/>
        <v>2196.6480136824762</v>
      </c>
      <c r="AA11" s="127">
        <f t="shared" si="0"/>
        <v>2195.5709069035684</v>
      </c>
      <c r="AB11" s="127">
        <f t="shared" si="0"/>
        <v>2194.4938001246601</v>
      </c>
      <c r="AC11" s="127">
        <f t="shared" si="0"/>
        <v>2251.0301074897529</v>
      </c>
      <c r="AD11" s="127">
        <f t="shared" si="0"/>
        <v>2249.9530007108447</v>
      </c>
      <c r="AE11" s="127">
        <f t="shared" si="0"/>
        <v>2248.8758939319368</v>
      </c>
      <c r="AF11" s="127">
        <f t="shared" si="0"/>
        <v>2247.798787153029</v>
      </c>
      <c r="AG11" s="127">
        <f t="shared" si="0"/>
        <v>2246.7216803741208</v>
      </c>
      <c r="AH11" s="127">
        <f t="shared" ref="AH11:BM11" si="1">SUM(AH12:AH23)</f>
        <v>2245.6445735952129</v>
      </c>
      <c r="AI11" s="127">
        <f t="shared" si="1"/>
        <v>2244.5674668163051</v>
      </c>
      <c r="AJ11" s="127">
        <f t="shared" si="1"/>
        <v>2243.4903600373973</v>
      </c>
      <c r="AK11" s="127">
        <f t="shared" si="1"/>
        <v>2242.413253258489</v>
      </c>
      <c r="AL11" s="127">
        <f t="shared" si="1"/>
        <v>2241.3361464795812</v>
      </c>
      <c r="AM11" s="127">
        <f t="shared" si="1"/>
        <v>2240.2590397006734</v>
      </c>
      <c r="AN11" s="127">
        <f t="shared" si="1"/>
        <v>2239.1819329217656</v>
      </c>
      <c r="AO11" s="127">
        <f t="shared" si="1"/>
        <v>2298.0227768526174</v>
      </c>
      <c r="AP11" s="127">
        <f t="shared" si="1"/>
        <v>2296.9456700737092</v>
      </c>
      <c r="AQ11" s="127">
        <f t="shared" si="1"/>
        <v>2295.8685632948018</v>
      </c>
      <c r="AR11" s="127">
        <f t="shared" si="1"/>
        <v>2294.7914565158935</v>
      </c>
      <c r="AS11" s="127">
        <f t="shared" si="1"/>
        <v>2293.7143497369852</v>
      </c>
      <c r="AT11" s="127">
        <f t="shared" si="1"/>
        <v>2292.6372429580779</v>
      </c>
      <c r="AU11" s="127">
        <f t="shared" si="1"/>
        <v>2291.5601361791696</v>
      </c>
      <c r="AV11" s="127">
        <f t="shared" si="1"/>
        <v>2290.4830294002622</v>
      </c>
      <c r="AW11" s="127">
        <f t="shared" si="1"/>
        <v>2289.405922621354</v>
      </c>
      <c r="AX11" s="127">
        <f t="shared" si="1"/>
        <v>2288.3288158424457</v>
      </c>
      <c r="AY11" s="127">
        <f t="shared" si="1"/>
        <v>2287.2517090635383</v>
      </c>
      <c r="AZ11" s="127">
        <f t="shared" si="1"/>
        <v>2286.1746022846301</v>
      </c>
      <c r="BA11" s="127">
        <f t="shared" si="1"/>
        <v>2347.4121642438731</v>
      </c>
      <c r="BB11" s="127">
        <f t="shared" si="1"/>
        <v>2346.3350574649653</v>
      </c>
      <c r="BC11" s="127">
        <f t="shared" si="1"/>
        <v>2345.257950686057</v>
      </c>
      <c r="BD11" s="127">
        <f t="shared" si="1"/>
        <v>2344.1808439071492</v>
      </c>
      <c r="BE11" s="127">
        <f t="shared" si="1"/>
        <v>2343.1037371282414</v>
      </c>
      <c r="BF11" s="127">
        <f t="shared" si="1"/>
        <v>2342.0266303493336</v>
      </c>
      <c r="BG11" s="127">
        <f t="shared" si="1"/>
        <v>2340.9495235704253</v>
      </c>
      <c r="BH11" s="127">
        <f t="shared" si="1"/>
        <v>2339.8724167915175</v>
      </c>
      <c r="BI11" s="127">
        <f t="shared" si="1"/>
        <v>2338.7953100126097</v>
      </c>
      <c r="BJ11" s="127">
        <f t="shared" si="1"/>
        <v>2337.7182032337018</v>
      </c>
      <c r="BK11" s="127">
        <f t="shared" si="1"/>
        <v>2336.6410964547936</v>
      </c>
      <c r="BL11" s="127">
        <f t="shared" si="1"/>
        <v>2335.5639896758858</v>
      </c>
      <c r="BM11" s="127">
        <f t="shared" si="1"/>
        <v>2399.2941383846542</v>
      </c>
      <c r="BN11" s="127">
        <f t="shared" ref="BN11:BX11" si="2">SUM(BN12:BN23)</f>
        <v>2398.2170316057463</v>
      </c>
      <c r="BO11" s="127">
        <f t="shared" si="2"/>
        <v>2397.1399248268381</v>
      </c>
      <c r="BP11" s="127">
        <f t="shared" si="2"/>
        <v>2396.0628180479303</v>
      </c>
      <c r="BQ11" s="127">
        <f t="shared" si="2"/>
        <v>2394.9857112690224</v>
      </c>
      <c r="BR11" s="127">
        <f t="shared" si="2"/>
        <v>2393.9086044901146</v>
      </c>
      <c r="BS11" s="127">
        <f t="shared" si="2"/>
        <v>2369.5370532667625</v>
      </c>
      <c r="BT11" s="127">
        <f t="shared" si="2"/>
        <v>2368.4988353767435</v>
      </c>
      <c r="BU11" s="127">
        <f t="shared" si="2"/>
        <v>2367.4606174867245</v>
      </c>
      <c r="BV11" s="127">
        <f t="shared" si="2"/>
        <v>2366.4223995967054</v>
      </c>
      <c r="BW11" s="127">
        <f t="shared" si="2"/>
        <v>2365.3841817066859</v>
      </c>
      <c r="BX11" s="127">
        <f t="shared" si="2"/>
        <v>2364.3459638166669</v>
      </c>
    </row>
    <row r="12" spans="1:76" ht="12.75" customHeight="1" x14ac:dyDescent="0.25">
      <c r="A12" s="90" t="s">
        <v>66</v>
      </c>
      <c r="B12" s="128">
        <f>Вложения!F71</f>
        <v>0</v>
      </c>
      <c r="C12" s="128">
        <f>Вложения!G71</f>
        <v>0</v>
      </c>
      <c r="D12" s="128">
        <f>Вложения!H71</f>
        <v>0</v>
      </c>
      <c r="E12" s="128">
        <f>Вложения!I71</f>
        <v>0</v>
      </c>
      <c r="F12" s="128">
        <f>Вложения!J71</f>
        <v>0</v>
      </c>
      <c r="G12" s="128">
        <f>Вложения!K71</f>
        <v>0</v>
      </c>
      <c r="H12" s="128">
        <f>Вложения!L71</f>
        <v>0</v>
      </c>
      <c r="I12" s="128">
        <f>Вложения!M71</f>
        <v>0</v>
      </c>
      <c r="J12" s="128">
        <f>Вложения!N71</f>
        <v>0</v>
      </c>
      <c r="K12" s="128">
        <f>Вложения!O71</f>
        <v>646.26406734476177</v>
      </c>
      <c r="L12" s="128">
        <f>Вложения!P71</f>
        <v>646.26406734476177</v>
      </c>
      <c r="M12" s="128">
        <f>Вложения!Q71</f>
        <v>646.26406734476177</v>
      </c>
      <c r="N12" s="128">
        <f>Вложения!R71</f>
        <v>646.26406734476177</v>
      </c>
      <c r="O12" s="128">
        <f>Вложения!S71</f>
        <v>646.26406734476177</v>
      </c>
      <c r="P12" s="128">
        <f>Вложения!T71</f>
        <v>646.26406734476177</v>
      </c>
      <c r="Q12" s="128">
        <f>Вложения!U71</f>
        <v>646.26406734476177</v>
      </c>
      <c r="R12" s="128">
        <f>Вложения!V71</f>
        <v>646.26406734476177</v>
      </c>
      <c r="S12" s="128">
        <f>Вложения!W71</f>
        <v>646.26406734476177</v>
      </c>
      <c r="T12" s="128">
        <f>Вложения!X71</f>
        <v>646.26406734476177</v>
      </c>
      <c r="U12" s="128">
        <f>Вложения!Y71</f>
        <v>646.26406734476177</v>
      </c>
      <c r="V12" s="128">
        <f>Вложения!Z71</f>
        <v>646.26406734476177</v>
      </c>
      <c r="W12" s="128">
        <f>Вложения!AA71</f>
        <v>646.26406734476177</v>
      </c>
      <c r="X12" s="128">
        <f>Вложения!AB71</f>
        <v>646.26406734476177</v>
      </c>
      <c r="Y12" s="128">
        <f>Вложения!AC71</f>
        <v>646.26406734476177</v>
      </c>
      <c r="Z12" s="128">
        <f>Вложения!AD71</f>
        <v>646.26406734476177</v>
      </c>
      <c r="AA12" s="128">
        <f>Вложения!AE71</f>
        <v>646.26406734476177</v>
      </c>
      <c r="AB12" s="128">
        <f>Вложения!AF71</f>
        <v>646.26406734476177</v>
      </c>
      <c r="AC12" s="128">
        <f>Вложения!AG71</f>
        <v>646.26406734476177</v>
      </c>
      <c r="AD12" s="128">
        <f>Вложения!AH71</f>
        <v>646.26406734476177</v>
      </c>
      <c r="AE12" s="128">
        <f>Вложения!AI71</f>
        <v>646.26406734476177</v>
      </c>
      <c r="AF12" s="128">
        <f>Вложения!AJ71</f>
        <v>646.26406734476177</v>
      </c>
      <c r="AG12" s="128">
        <f>Вложения!AK71</f>
        <v>646.26406734476177</v>
      </c>
      <c r="AH12" s="128">
        <f>Вложения!AL71</f>
        <v>646.26406734476177</v>
      </c>
      <c r="AI12" s="128">
        <f>Вложения!AM71</f>
        <v>646.26406734476177</v>
      </c>
      <c r="AJ12" s="128">
        <f>Вложения!AN71</f>
        <v>646.26406734476177</v>
      </c>
      <c r="AK12" s="128">
        <f>Вложения!AO71</f>
        <v>646.26406734476177</v>
      </c>
      <c r="AL12" s="128">
        <f>Вложения!AP71</f>
        <v>646.26406734476177</v>
      </c>
      <c r="AM12" s="128">
        <f>Вложения!AQ71</f>
        <v>646.26406734476177</v>
      </c>
      <c r="AN12" s="128">
        <f>Вложения!AR71</f>
        <v>646.26406734476177</v>
      </c>
      <c r="AO12" s="128">
        <f>Вложения!AS71</f>
        <v>646.26406734476177</v>
      </c>
      <c r="AP12" s="128">
        <f>Вложения!AT71</f>
        <v>646.26406734476177</v>
      </c>
      <c r="AQ12" s="128">
        <f>Вложения!AU71</f>
        <v>646.26406734476177</v>
      </c>
      <c r="AR12" s="128">
        <f>Вложения!AV71</f>
        <v>646.26406734476177</v>
      </c>
      <c r="AS12" s="128">
        <f>Вложения!AW71</f>
        <v>646.26406734476177</v>
      </c>
      <c r="AT12" s="128">
        <f>Вложения!AX71</f>
        <v>646.26406734476177</v>
      </c>
      <c r="AU12" s="128">
        <f>Вложения!AY71</f>
        <v>646.26406734476177</v>
      </c>
      <c r="AV12" s="128">
        <f>Вложения!AZ71</f>
        <v>646.26406734476177</v>
      </c>
      <c r="AW12" s="128">
        <f>Вложения!BA71</f>
        <v>646.26406734476177</v>
      </c>
      <c r="AX12" s="128">
        <f>Вложения!BB71</f>
        <v>646.26406734476177</v>
      </c>
      <c r="AY12" s="128">
        <f>Вложения!BC71</f>
        <v>646.26406734476177</v>
      </c>
      <c r="AZ12" s="128">
        <f>Вложения!BD71</f>
        <v>646.26406734476177</v>
      </c>
      <c r="BA12" s="128">
        <f>Вложения!BE71</f>
        <v>646.26406734476177</v>
      </c>
      <c r="BB12" s="128">
        <f>Вложения!BF71</f>
        <v>646.26406734476177</v>
      </c>
      <c r="BC12" s="128">
        <f>Вложения!BG71</f>
        <v>646.26406734476177</v>
      </c>
      <c r="BD12" s="128">
        <f>Вложения!BH71</f>
        <v>646.26406734476177</v>
      </c>
      <c r="BE12" s="128">
        <f>Вложения!BI71</f>
        <v>646.26406734476177</v>
      </c>
      <c r="BF12" s="128">
        <f>Вложения!BJ71</f>
        <v>646.26406734476177</v>
      </c>
      <c r="BG12" s="128">
        <f>Вложения!BK71</f>
        <v>646.26406734476177</v>
      </c>
      <c r="BH12" s="128">
        <f>Вложения!BL71</f>
        <v>646.26406734476177</v>
      </c>
      <c r="BI12" s="128">
        <f>Вложения!BM71</f>
        <v>646.26406734476177</v>
      </c>
      <c r="BJ12" s="128">
        <f>Вложения!BN71</f>
        <v>646.26406734476177</v>
      </c>
      <c r="BK12" s="128">
        <f>Вложения!BO71</f>
        <v>646.26406734476177</v>
      </c>
      <c r="BL12" s="128">
        <f>Вложения!BP71</f>
        <v>646.26406734476177</v>
      </c>
      <c r="BM12" s="128">
        <f>Вложения!BQ71</f>
        <v>646.26406734476177</v>
      </c>
      <c r="BN12" s="128">
        <f>Вложения!BR71</f>
        <v>646.26406734476177</v>
      </c>
      <c r="BO12" s="128">
        <f>Вложения!BS71</f>
        <v>646.26406734476177</v>
      </c>
      <c r="BP12" s="128">
        <f>Вложения!BT71</f>
        <v>646.26406734476177</v>
      </c>
      <c r="BQ12" s="128">
        <f>Вложения!BU71</f>
        <v>646.26406734476177</v>
      </c>
      <c r="BR12" s="128">
        <f>Вложения!BV71</f>
        <v>646.26406734476177</v>
      </c>
      <c r="BS12" s="128">
        <f>Вложения!BW71</f>
        <v>622.93073401142851</v>
      </c>
      <c r="BT12" s="128">
        <f>Вложения!BX71</f>
        <v>622.93073401142851</v>
      </c>
      <c r="BU12" s="128">
        <f>Вложения!BY71</f>
        <v>622.93073401142851</v>
      </c>
      <c r="BV12" s="128">
        <f>Вложения!BZ71</f>
        <v>622.93073401142851</v>
      </c>
      <c r="BW12" s="128">
        <f>Вложения!CA71</f>
        <v>622.93073401142851</v>
      </c>
      <c r="BX12" s="128">
        <f>Вложения!CB71</f>
        <v>622.93073401142851</v>
      </c>
    </row>
    <row r="13" spans="1:76" x14ac:dyDescent="0.25">
      <c r="A13" s="90" t="s">
        <v>583</v>
      </c>
      <c r="B13" s="128">
        <f>ФОТ!B77</f>
        <v>100</v>
      </c>
      <c r="C13" s="128">
        <f>ФОТ!C77</f>
        <v>100</v>
      </c>
      <c r="D13" s="128">
        <f>ФОТ!D77</f>
        <v>100</v>
      </c>
      <c r="E13" s="128">
        <f>ФОТ!E77</f>
        <v>104</v>
      </c>
      <c r="F13" s="128">
        <f>ФОТ!F77</f>
        <v>104</v>
      </c>
      <c r="G13" s="128">
        <f>ФОТ!G77</f>
        <v>104</v>
      </c>
      <c r="H13" s="128">
        <f>ФОТ!H77</f>
        <v>104</v>
      </c>
      <c r="I13" s="128">
        <f>ФОТ!I77</f>
        <v>104</v>
      </c>
      <c r="J13" s="128">
        <f>ФОТ!J77</f>
        <v>322.39999999999998</v>
      </c>
      <c r="K13" s="128">
        <f>ФОТ!K77</f>
        <v>624</v>
      </c>
      <c r="L13" s="128">
        <f>ФОТ!L77</f>
        <v>951.6</v>
      </c>
      <c r="M13" s="128">
        <f>ФОТ!M77</f>
        <v>951.6</v>
      </c>
      <c r="N13" s="128">
        <f>ФОТ!N77</f>
        <v>951.6</v>
      </c>
      <c r="O13" s="128">
        <f>ФОТ!O77</f>
        <v>951.6</v>
      </c>
      <c r="P13" s="128">
        <f>ФОТ!P77</f>
        <v>951.6</v>
      </c>
      <c r="Q13" s="128">
        <f>ФОТ!Q77</f>
        <v>989.66399999999999</v>
      </c>
      <c r="R13" s="128">
        <f>ФОТ!R77</f>
        <v>989.66399999999999</v>
      </c>
      <c r="S13" s="128">
        <f>ФОТ!S77</f>
        <v>989.66399999999999</v>
      </c>
      <c r="T13" s="128">
        <f>ФОТ!T77</f>
        <v>989.66399999999999</v>
      </c>
      <c r="U13" s="128">
        <f>ФОТ!U77</f>
        <v>989.66399999999999</v>
      </c>
      <c r="V13" s="128">
        <f>ФОТ!V77</f>
        <v>989.66399999999999</v>
      </c>
      <c r="W13" s="128">
        <f>ФОТ!W77</f>
        <v>989.66399999999999</v>
      </c>
      <c r="X13" s="128">
        <f>ФОТ!X77</f>
        <v>989.66399999999999</v>
      </c>
      <c r="Y13" s="128">
        <f>ФОТ!Y77</f>
        <v>989.66399999999999</v>
      </c>
      <c r="Z13" s="128">
        <f>ФОТ!Z77</f>
        <v>989.66399999999999</v>
      </c>
      <c r="AA13" s="128">
        <f>ФОТ!AA77</f>
        <v>989.66399999999999</v>
      </c>
      <c r="AB13" s="128">
        <f>ФОТ!AB77</f>
        <v>989.66399999999999</v>
      </c>
      <c r="AC13" s="128">
        <f>ФОТ!AC77</f>
        <v>1029.25056</v>
      </c>
      <c r="AD13" s="128">
        <f>ФОТ!AD77</f>
        <v>1029.25056</v>
      </c>
      <c r="AE13" s="128">
        <f>ФОТ!AE77</f>
        <v>1029.25056</v>
      </c>
      <c r="AF13" s="128">
        <f>ФОТ!AF77</f>
        <v>1029.25056</v>
      </c>
      <c r="AG13" s="128">
        <f>ФОТ!AG77</f>
        <v>1029.25056</v>
      </c>
      <c r="AH13" s="128">
        <f>ФОТ!AH77</f>
        <v>1029.25056</v>
      </c>
      <c r="AI13" s="128">
        <f>ФОТ!AI77</f>
        <v>1029.25056</v>
      </c>
      <c r="AJ13" s="128">
        <f>ФОТ!AJ77</f>
        <v>1029.25056</v>
      </c>
      <c r="AK13" s="128">
        <f>ФОТ!AK77</f>
        <v>1029.25056</v>
      </c>
      <c r="AL13" s="128">
        <f>ФОТ!AL77</f>
        <v>1029.25056</v>
      </c>
      <c r="AM13" s="128">
        <f>ФОТ!AM77</f>
        <v>1029.25056</v>
      </c>
      <c r="AN13" s="128">
        <f>ФОТ!AN77</f>
        <v>1029.25056</v>
      </c>
      <c r="AO13" s="128">
        <f>ФОТ!AO77</f>
        <v>1070.4205824000003</v>
      </c>
      <c r="AP13" s="128">
        <f>ФОТ!AP77</f>
        <v>1070.4205824000003</v>
      </c>
      <c r="AQ13" s="128">
        <f>ФОТ!AQ77</f>
        <v>1070.4205824000003</v>
      </c>
      <c r="AR13" s="128">
        <f>ФОТ!AR77</f>
        <v>1070.4205824000003</v>
      </c>
      <c r="AS13" s="128">
        <f>ФОТ!AS77</f>
        <v>1070.4205824000003</v>
      </c>
      <c r="AT13" s="128">
        <f>ФОТ!AT77</f>
        <v>1070.4205824000003</v>
      </c>
      <c r="AU13" s="128">
        <f>ФОТ!AU77</f>
        <v>1070.4205824000003</v>
      </c>
      <c r="AV13" s="128">
        <f>ФОТ!AV77</f>
        <v>1070.4205824000003</v>
      </c>
      <c r="AW13" s="128">
        <f>ФОТ!AW77</f>
        <v>1070.4205824000003</v>
      </c>
      <c r="AX13" s="128">
        <f>ФОТ!AX77</f>
        <v>1070.4205824000003</v>
      </c>
      <c r="AY13" s="128">
        <f>ФОТ!AY77</f>
        <v>1070.4205824000003</v>
      </c>
      <c r="AZ13" s="128">
        <f>ФОТ!AZ77</f>
        <v>1070.4205824000003</v>
      </c>
      <c r="BA13" s="128">
        <f>ФОТ!BA77</f>
        <v>1113.2374056960002</v>
      </c>
      <c r="BB13" s="128">
        <f>ФОТ!BB77</f>
        <v>1113.2374056960002</v>
      </c>
      <c r="BC13" s="128">
        <f>ФОТ!BC77</f>
        <v>1113.2374056960002</v>
      </c>
      <c r="BD13" s="128">
        <f>ФОТ!BD77</f>
        <v>1113.2374056960002</v>
      </c>
      <c r="BE13" s="128">
        <f>ФОТ!BE77</f>
        <v>1113.2374056960002</v>
      </c>
      <c r="BF13" s="128">
        <f>ФОТ!BF77</f>
        <v>1113.2374056960002</v>
      </c>
      <c r="BG13" s="128">
        <f>ФОТ!BG77</f>
        <v>1113.2374056960002</v>
      </c>
      <c r="BH13" s="128">
        <f>ФОТ!BH77</f>
        <v>1113.2374056960002</v>
      </c>
      <c r="BI13" s="128">
        <f>ФОТ!BI77</f>
        <v>1113.2374056960002</v>
      </c>
      <c r="BJ13" s="128">
        <f>ФОТ!BJ77</f>
        <v>1113.2374056960002</v>
      </c>
      <c r="BK13" s="128">
        <f>ФОТ!BK77</f>
        <v>1113.2374056960002</v>
      </c>
      <c r="BL13" s="128">
        <f>ФОТ!BL77</f>
        <v>1113.2374056960002</v>
      </c>
      <c r="BM13" s="128">
        <f>ФОТ!BM77</f>
        <v>1157.7669019238401</v>
      </c>
      <c r="BN13" s="128">
        <f>ФОТ!BN77</f>
        <v>1157.7669019238401</v>
      </c>
      <c r="BO13" s="128">
        <f>ФОТ!BO77</f>
        <v>1157.7669019238401</v>
      </c>
      <c r="BP13" s="128">
        <f>ФОТ!BP77</f>
        <v>1157.7669019238401</v>
      </c>
      <c r="BQ13" s="128">
        <f>ФОТ!BQ77</f>
        <v>1157.7669019238401</v>
      </c>
      <c r="BR13" s="128">
        <f>ФОТ!BR77</f>
        <v>1157.7669019238401</v>
      </c>
      <c r="BS13" s="128">
        <f>ФОТ!BS77</f>
        <v>1157.7669019238401</v>
      </c>
      <c r="BT13" s="128">
        <f>ФОТ!BT77</f>
        <v>1157.7669019238401</v>
      </c>
      <c r="BU13" s="128">
        <f>ФОТ!BU77</f>
        <v>1157.7669019238401</v>
      </c>
      <c r="BV13" s="128">
        <f>ФОТ!BV77</f>
        <v>1157.7669019238401</v>
      </c>
      <c r="BW13" s="128">
        <f>ФОТ!BW77</f>
        <v>1157.7669019238401</v>
      </c>
      <c r="BX13" s="128">
        <f>ФОТ!BX77</f>
        <v>1157.7669019238401</v>
      </c>
    </row>
    <row r="14" spans="1:76" x14ac:dyDescent="0.25">
      <c r="A14" s="90" t="s">
        <v>108</v>
      </c>
      <c r="B14" s="128">
        <f>B13*'Книга допущений'!$B$26</f>
        <v>15.200000000000003</v>
      </c>
      <c r="C14" s="128">
        <f>C13*'Книга допущений'!$B$26</f>
        <v>15.200000000000003</v>
      </c>
      <c r="D14" s="128">
        <f>D13*'Книга допущений'!$B$26</f>
        <v>15.200000000000003</v>
      </c>
      <c r="E14" s="128">
        <f>E13*'Книга допущений'!$B$26</f>
        <v>15.808000000000003</v>
      </c>
      <c r="F14" s="128">
        <f>F13*'Книга допущений'!$B$26</f>
        <v>15.808000000000003</v>
      </c>
      <c r="G14" s="128">
        <f>G13*'Книга допущений'!$B$26</f>
        <v>15.808000000000003</v>
      </c>
      <c r="H14" s="128">
        <f>H13*'Книга допущений'!$B$26</f>
        <v>15.808000000000003</v>
      </c>
      <c r="I14" s="128">
        <f>I13*'Книга допущений'!$B$26</f>
        <v>15.808000000000003</v>
      </c>
      <c r="J14" s="128">
        <f>J13*'Книга допущений'!$B$26</f>
        <v>49.004800000000003</v>
      </c>
      <c r="K14" s="128">
        <f>K13*'Книга допущений'!$B$26</f>
        <v>94.848000000000013</v>
      </c>
      <c r="L14" s="128">
        <f>L13*'Книга допущений'!$B$26</f>
        <v>144.64320000000004</v>
      </c>
      <c r="M14" s="128">
        <f>M13*'Книга допущений'!$B$26</f>
        <v>144.64320000000004</v>
      </c>
      <c r="N14" s="128">
        <f>N13*'Книга допущений'!$B$26</f>
        <v>144.64320000000004</v>
      </c>
      <c r="O14" s="128">
        <f>O13*'Книга допущений'!$B$26</f>
        <v>144.64320000000004</v>
      </c>
      <c r="P14" s="128">
        <f>P13*'Книга допущений'!$B$26</f>
        <v>144.64320000000004</v>
      </c>
      <c r="Q14" s="128">
        <f>Q13*'Книга допущений'!$B$26</f>
        <v>150.42892800000001</v>
      </c>
      <c r="R14" s="128">
        <f>R13*'Книга допущений'!$B$26</f>
        <v>150.42892800000001</v>
      </c>
      <c r="S14" s="128">
        <f>S13*'Книга допущений'!$B$26</f>
        <v>150.42892800000001</v>
      </c>
      <c r="T14" s="128">
        <f>T13*'Книга допущений'!$B$26</f>
        <v>150.42892800000001</v>
      </c>
      <c r="U14" s="128">
        <f>U13*'Книга допущений'!$B$26</f>
        <v>150.42892800000001</v>
      </c>
      <c r="V14" s="128">
        <f>V13*'Книга допущений'!$B$26</f>
        <v>150.42892800000001</v>
      </c>
      <c r="W14" s="128">
        <f>W13*'Книга допущений'!$B$26</f>
        <v>150.42892800000001</v>
      </c>
      <c r="X14" s="128">
        <f>X13*'Книга допущений'!$B$26</f>
        <v>150.42892800000001</v>
      </c>
      <c r="Y14" s="128">
        <f>Y13*'Книга допущений'!$B$26</f>
        <v>150.42892800000001</v>
      </c>
      <c r="Z14" s="128">
        <f>Z13*'Книга допущений'!$B$26</f>
        <v>150.42892800000001</v>
      </c>
      <c r="AA14" s="128">
        <f>AA13*'Книга допущений'!$B$26</f>
        <v>150.42892800000001</v>
      </c>
      <c r="AB14" s="128">
        <f>AB13*'Книга допущений'!$B$26</f>
        <v>150.42892800000001</v>
      </c>
      <c r="AC14" s="128">
        <f>AC13*'Книга допущений'!$B$26</f>
        <v>156.44608512000002</v>
      </c>
      <c r="AD14" s="128">
        <f>AD13*'Книга допущений'!$B$26</f>
        <v>156.44608512000002</v>
      </c>
      <c r="AE14" s="128">
        <f>AE13*'Книга допущений'!$B$26</f>
        <v>156.44608512000002</v>
      </c>
      <c r="AF14" s="128">
        <f>AF13*'Книга допущений'!$B$26</f>
        <v>156.44608512000002</v>
      </c>
      <c r="AG14" s="128">
        <f>AG13*'Книга допущений'!$B$26</f>
        <v>156.44608512000002</v>
      </c>
      <c r="AH14" s="128">
        <f>AH13*'Книга допущений'!$B$26</f>
        <v>156.44608512000002</v>
      </c>
      <c r="AI14" s="128">
        <f>AI13*'Книга допущений'!$B$26</f>
        <v>156.44608512000002</v>
      </c>
      <c r="AJ14" s="128">
        <f>AJ13*'Книга допущений'!$B$26</f>
        <v>156.44608512000002</v>
      </c>
      <c r="AK14" s="128">
        <f>AK13*'Книга допущений'!$B$26</f>
        <v>156.44608512000002</v>
      </c>
      <c r="AL14" s="128">
        <f>AL13*'Книга допущений'!$B$26</f>
        <v>156.44608512000002</v>
      </c>
      <c r="AM14" s="128">
        <f>AM13*'Книга допущений'!$B$26</f>
        <v>156.44608512000002</v>
      </c>
      <c r="AN14" s="128">
        <f>AN13*'Книга допущений'!$B$26</f>
        <v>156.44608512000002</v>
      </c>
      <c r="AO14" s="128">
        <f>AO13*'Книга допущений'!$B$26</f>
        <v>162.70392852480006</v>
      </c>
      <c r="AP14" s="128">
        <f>AP13*'Книга допущений'!$B$26</f>
        <v>162.70392852480006</v>
      </c>
      <c r="AQ14" s="128">
        <f>AQ13*'Книга допущений'!$B$26</f>
        <v>162.70392852480006</v>
      </c>
      <c r="AR14" s="128">
        <f>AR13*'Книга допущений'!$B$26</f>
        <v>162.70392852480006</v>
      </c>
      <c r="AS14" s="128">
        <f>AS13*'Книга допущений'!$B$26</f>
        <v>162.70392852480006</v>
      </c>
      <c r="AT14" s="128">
        <f>AT13*'Книга допущений'!$B$26</f>
        <v>162.70392852480006</v>
      </c>
      <c r="AU14" s="128">
        <f>AU13*'Книга допущений'!$B$26</f>
        <v>162.70392852480006</v>
      </c>
      <c r="AV14" s="128">
        <f>AV13*'Книга допущений'!$B$26</f>
        <v>162.70392852480006</v>
      </c>
      <c r="AW14" s="128">
        <f>AW13*'Книга допущений'!$B$26</f>
        <v>162.70392852480006</v>
      </c>
      <c r="AX14" s="128">
        <f>AX13*'Книга допущений'!$B$26</f>
        <v>162.70392852480006</v>
      </c>
      <c r="AY14" s="128">
        <f>AY13*'Книга допущений'!$B$26</f>
        <v>162.70392852480006</v>
      </c>
      <c r="AZ14" s="128">
        <f>AZ13*'Книга допущений'!$B$26</f>
        <v>162.70392852480006</v>
      </c>
      <c r="BA14" s="128">
        <f>BA13*'Книга допущений'!$B$26</f>
        <v>169.21208566579207</v>
      </c>
      <c r="BB14" s="128">
        <f>BB13*'Книга допущений'!$B$26</f>
        <v>169.21208566579207</v>
      </c>
      <c r="BC14" s="128">
        <f>BC13*'Книга допущений'!$B$26</f>
        <v>169.21208566579207</v>
      </c>
      <c r="BD14" s="128">
        <f>BD13*'Книга допущений'!$B$26</f>
        <v>169.21208566579207</v>
      </c>
      <c r="BE14" s="128">
        <f>BE13*'Книга допущений'!$B$26</f>
        <v>169.21208566579207</v>
      </c>
      <c r="BF14" s="128">
        <f>BF13*'Книга допущений'!$B$26</f>
        <v>169.21208566579207</v>
      </c>
      <c r="BG14" s="128">
        <f>BG13*'Книга допущений'!$B$26</f>
        <v>169.21208566579207</v>
      </c>
      <c r="BH14" s="128">
        <f>BH13*'Книга допущений'!$B$26</f>
        <v>169.21208566579207</v>
      </c>
      <c r="BI14" s="128">
        <f>BI13*'Книга допущений'!$B$26</f>
        <v>169.21208566579207</v>
      </c>
      <c r="BJ14" s="128">
        <f>BJ13*'Книга допущений'!$B$26</f>
        <v>169.21208566579207</v>
      </c>
      <c r="BK14" s="128">
        <f>BK13*'Книга допущений'!$B$26</f>
        <v>169.21208566579207</v>
      </c>
      <c r="BL14" s="128">
        <f>BL13*'Книга допущений'!$B$26</f>
        <v>169.21208566579207</v>
      </c>
      <c r="BM14" s="128">
        <f>BM13*'Книга допущений'!$B$26</f>
        <v>175.98056909242374</v>
      </c>
      <c r="BN14" s="128">
        <f>BN13*'Книга допущений'!$B$26</f>
        <v>175.98056909242374</v>
      </c>
      <c r="BO14" s="128">
        <f>BO13*'Книга допущений'!$B$26</f>
        <v>175.98056909242374</v>
      </c>
      <c r="BP14" s="128">
        <f>BP13*'Книга допущений'!$B$26</f>
        <v>175.98056909242374</v>
      </c>
      <c r="BQ14" s="128">
        <f>BQ13*'Книга допущений'!$B$26</f>
        <v>175.98056909242374</v>
      </c>
      <c r="BR14" s="128">
        <f>BR13*'Книга допущений'!$B$26</f>
        <v>175.98056909242374</v>
      </c>
      <c r="BS14" s="128">
        <f>BS13*'Книга допущений'!$B$26</f>
        <v>175.98056909242374</v>
      </c>
      <c r="BT14" s="128">
        <f>BT13*'Книга допущений'!$B$26</f>
        <v>175.98056909242374</v>
      </c>
      <c r="BU14" s="128">
        <f>BU13*'Книга допущений'!$B$26</f>
        <v>175.98056909242374</v>
      </c>
      <c r="BV14" s="128">
        <f>BV13*'Книга допущений'!$B$26</f>
        <v>175.98056909242374</v>
      </c>
      <c r="BW14" s="128">
        <f>BW13*'Книга допущений'!$B$26</f>
        <v>175.98056909242374</v>
      </c>
      <c r="BX14" s="128">
        <f>BX13*'Книга допущений'!$B$26</f>
        <v>175.98056909242374</v>
      </c>
    </row>
    <row r="15" spans="1:76" x14ac:dyDescent="0.25">
      <c r="A15" s="90" t="str">
        <f>'Книга допущений'!A180</f>
        <v>Аренда земельного участка</v>
      </c>
      <c r="B15" s="128">
        <f>'Книга допущений'!$B180/1000*'Книга допущений'!$B$19^Расходы!B$10*(1+Риски!$B$13)</f>
        <v>8.5909999999999993</v>
      </c>
      <c r="C15" s="128">
        <f>'Книга допущений'!$B180/1000*'Книга допущений'!$B$19^Расходы!C$10*(1+Риски!$B$13)</f>
        <v>8.5909999999999993</v>
      </c>
      <c r="D15" s="128">
        <f>'Книга допущений'!$B180/1000*'Книга допущений'!$B$19^Расходы!D$10*(1+Риски!$B$13)</f>
        <v>8.5909999999999993</v>
      </c>
      <c r="E15" s="128">
        <f>'Книга допущений'!$B180/1000*'Книга допущений'!$B$19^Расходы!E$10*(1+Риски!$B$13)</f>
        <v>8.9346399999999999</v>
      </c>
      <c r="F15" s="128">
        <f>'Книга допущений'!$B180/1000*'Книга допущений'!$B$19^Расходы!F$10*(1+Риски!$B$13)</f>
        <v>8.9346399999999999</v>
      </c>
      <c r="G15" s="128">
        <f>'Книга допущений'!$B180/1000*'Книга допущений'!$B$19^Расходы!G$10*(1+Риски!$B$13)</f>
        <v>8.9346399999999999</v>
      </c>
      <c r="H15" s="128">
        <f>'Книга допущений'!$B180/1000*'Книга допущений'!$B$19^Расходы!H$10*(1+Риски!$B$13)</f>
        <v>8.9346399999999999</v>
      </c>
      <c r="I15" s="128">
        <f>'Книга допущений'!$B180/1000*'Книга допущений'!$B$19^Расходы!I$10*(1+Риски!$B$13)</f>
        <v>8.9346399999999999</v>
      </c>
      <c r="J15" s="128">
        <f>'Книга допущений'!$B180/1000*'Книга допущений'!$B$19^Расходы!J$10*(1+Риски!$B$13)</f>
        <v>8.9346399999999999</v>
      </c>
      <c r="K15" s="128">
        <f>'Книга допущений'!$B180/1000*'Книга допущений'!$B$19^Расходы!K$10</f>
        <v>8.9346399999999999</v>
      </c>
      <c r="L15" s="128">
        <f>'Книга допущений'!$B180/1000*'Книга допущений'!$B$19^Расходы!L$10</f>
        <v>8.9346399999999999</v>
      </c>
      <c r="M15" s="128">
        <f>'Книга допущений'!$B180/1000*'Книга допущений'!$B$19^Расходы!M$10</f>
        <v>8.9346399999999999</v>
      </c>
      <c r="N15" s="128">
        <f>'Книга допущений'!$B180/1000*'Книга допущений'!$B$19^Расходы!N$10*(1+Риски!$B$13)</f>
        <v>8.9346399999999999</v>
      </c>
      <c r="O15" s="128">
        <f>'Книга допущений'!$B180/1000*'Книга допущений'!$B$19^Расходы!O$10*(1+Риски!$B$13)</f>
        <v>8.9346399999999999</v>
      </c>
      <c r="P15" s="128">
        <f>'Книга допущений'!$B180/1000*'Книга допущений'!$B$19^Расходы!P$10*(1+Риски!$B$13)</f>
        <v>8.9346399999999999</v>
      </c>
      <c r="Q15" s="128">
        <f>'Книга допущений'!$B180/1000*'Книга допущений'!$B$19^Расходы!Q$10*(1+Риски!$B$13)</f>
        <v>9.2920256000000006</v>
      </c>
      <c r="R15" s="128">
        <f>'Книга допущений'!$B180/1000*'Книга допущений'!$B$19^Расходы!R$10*(1+Риски!$B$13)</f>
        <v>9.2920256000000006</v>
      </c>
      <c r="S15" s="128">
        <f>'Книга допущений'!$B180/1000*'Книга допущений'!$B$19^Расходы!S$10*(1+Риски!$B$13)</f>
        <v>9.2920256000000006</v>
      </c>
      <c r="T15" s="128">
        <f>'Книга допущений'!$B180/1000*'Книга допущений'!$B$19^Расходы!T$10*(1+Риски!$B$13)</f>
        <v>9.2920256000000006</v>
      </c>
      <c r="U15" s="128">
        <f>'Книга допущений'!$B180/1000*'Книга допущений'!$B$19^Расходы!U$10*(1+Риски!$B$13)</f>
        <v>9.2920256000000006</v>
      </c>
      <c r="V15" s="128">
        <f>'Книга допущений'!$B180/1000*'Книга допущений'!$B$19^Расходы!V$10*(1+Риски!$B$13)</f>
        <v>9.2920256000000006</v>
      </c>
      <c r="W15" s="128">
        <f>'Книга допущений'!$B180/1000*'Книга допущений'!$B$19^Расходы!W$10*(1+Риски!$B$13)</f>
        <v>9.2920256000000006</v>
      </c>
      <c r="X15" s="128">
        <f>'Книга допущений'!$B180/1000*'Книга допущений'!$B$19^Расходы!X$10*(1+Риски!$B$13)</f>
        <v>9.2920256000000006</v>
      </c>
      <c r="Y15" s="128">
        <f>'Книга допущений'!$B180/1000*'Книга допущений'!$B$19^Расходы!Y$10*(1+Риски!$B$13)</f>
        <v>9.2920256000000006</v>
      </c>
      <c r="Z15" s="128">
        <f>'Книга допущений'!$B180/1000*'Книга допущений'!$B$19^Расходы!Z$10*(1+Риски!$B$13)</f>
        <v>9.2920256000000006</v>
      </c>
      <c r="AA15" s="128">
        <f>'Книга допущений'!$B180/1000*'Книга допущений'!$B$19^Расходы!AA$10*(1+Риски!$B$13)</f>
        <v>9.2920256000000006</v>
      </c>
      <c r="AB15" s="128">
        <f>'Книга допущений'!$B180/1000*'Книга допущений'!$B$19^Расходы!AB$10*(1+Риски!$B$13)</f>
        <v>9.2920256000000006</v>
      </c>
      <c r="AC15" s="128">
        <f>'Книга допущений'!$B180/1000*'Книга допущений'!$B$19^Расходы!AC$10*(1+Риски!$B$13)</f>
        <v>9.6637066239999996</v>
      </c>
      <c r="AD15" s="128">
        <f>'Книга допущений'!$B180/1000*'Книга допущений'!$B$19^Расходы!AD$10*(1+Риски!$B$13)</f>
        <v>9.6637066239999996</v>
      </c>
      <c r="AE15" s="128">
        <f>'Книга допущений'!$B180/1000*'Книга допущений'!$B$19^Расходы!AE$10*(1+Риски!$B$13)</f>
        <v>9.6637066239999996</v>
      </c>
      <c r="AF15" s="128">
        <f>'Книга допущений'!$B180/1000*'Книга допущений'!$B$19^Расходы!AF$10*(1+Риски!$B$13)</f>
        <v>9.6637066239999996</v>
      </c>
      <c r="AG15" s="128">
        <f>'Книга допущений'!$B180/1000*'Книга допущений'!$B$19^Расходы!AG$10*(1+Риски!$B$13)</f>
        <v>9.6637066239999996</v>
      </c>
      <c r="AH15" s="128">
        <f>'Книга допущений'!$B180/1000*'Книга допущений'!$B$19^Расходы!AH$10*(1+Риски!$B$13)</f>
        <v>9.6637066239999996</v>
      </c>
      <c r="AI15" s="128">
        <f>'Книга допущений'!$B180/1000*'Книга допущений'!$B$19^Расходы!AI$10*(1+Риски!$B$13)</f>
        <v>9.6637066239999996</v>
      </c>
      <c r="AJ15" s="128">
        <f>'Книга допущений'!$B180/1000*'Книга допущений'!$B$19^Расходы!AJ$10*(1+Риски!$B$13)</f>
        <v>9.6637066239999996</v>
      </c>
      <c r="AK15" s="128">
        <f>'Книга допущений'!$B180/1000*'Книга допущений'!$B$19^Расходы!AK$10*(1+Риски!$B$13)</f>
        <v>9.6637066239999996</v>
      </c>
      <c r="AL15" s="128">
        <f>'Книга допущений'!$B180/1000*'Книга допущений'!$B$19^Расходы!AL$10*(1+Риски!$B$13)</f>
        <v>9.6637066239999996</v>
      </c>
      <c r="AM15" s="128">
        <f>'Книга допущений'!$B180/1000*'Книга допущений'!$B$19^Расходы!AM$10*(1+Риски!$B$13)</f>
        <v>9.6637066239999996</v>
      </c>
      <c r="AN15" s="128">
        <f>'Книга допущений'!$B180/1000*'Книга допущений'!$B$19^Расходы!AN$10*(1+Риски!$B$13)</f>
        <v>9.6637066239999996</v>
      </c>
      <c r="AO15" s="128">
        <f>'Книга допущений'!$B180/1000*'Книга допущений'!$B$19^Расходы!AO$10*(1+Риски!$B$13)</f>
        <v>10.050254888960001</v>
      </c>
      <c r="AP15" s="128">
        <f>'Книга допущений'!$B180/1000*'Книга допущений'!$B$19^Расходы!AP$10*(1+Риски!$B$13)</f>
        <v>10.050254888960001</v>
      </c>
      <c r="AQ15" s="128">
        <f>'Книга допущений'!$B180/1000*'Книга допущений'!$B$19^Расходы!AQ$10*(1+Риски!$B$13)</f>
        <v>10.050254888960001</v>
      </c>
      <c r="AR15" s="128">
        <f>'Книга допущений'!$B180/1000*'Книга допущений'!$B$19^Расходы!AR$10*(1+Риски!$B$13)</f>
        <v>10.050254888960001</v>
      </c>
      <c r="AS15" s="128">
        <f>'Книга допущений'!$B180/1000*'Книга допущений'!$B$19^Расходы!AS$10*(1+Риски!$B$13)</f>
        <v>10.050254888960001</v>
      </c>
      <c r="AT15" s="128">
        <f>'Книга допущений'!$B180/1000*'Книга допущений'!$B$19^Расходы!AT$10*(1+Риски!$B$13)</f>
        <v>10.050254888960001</v>
      </c>
      <c r="AU15" s="128">
        <f>'Книга допущений'!$B180/1000*'Книга допущений'!$B$19^Расходы!AU$10*(1+Риски!$B$13)</f>
        <v>10.050254888960001</v>
      </c>
      <c r="AV15" s="128">
        <f>'Книга допущений'!$B180/1000*'Книга допущений'!$B$19^Расходы!AV$10*(1+Риски!$B$13)</f>
        <v>10.050254888960001</v>
      </c>
      <c r="AW15" s="128">
        <f>'Книга допущений'!$B180/1000*'Книга допущений'!$B$19^Расходы!AW$10*(1+Риски!$B$13)</f>
        <v>10.050254888960001</v>
      </c>
      <c r="AX15" s="128">
        <f>'Книга допущений'!$B180/1000*'Книга допущений'!$B$19^Расходы!AX$10*(1+Риски!$B$13)</f>
        <v>10.050254888960001</v>
      </c>
      <c r="AY15" s="128">
        <f>'Книга допущений'!$B180/1000*'Книга допущений'!$B$19^Расходы!AY$10*(1+Риски!$B$13)</f>
        <v>10.050254888960001</v>
      </c>
      <c r="AZ15" s="128">
        <f>'Книга допущений'!$B180/1000*'Книга допущений'!$B$19^Расходы!AZ$10*(1+Риски!$B$13)</f>
        <v>10.050254888960001</v>
      </c>
      <c r="BA15" s="128">
        <f>'Книга допущений'!$B180/1000*'Книга допущений'!$B$19^Расходы!BA$10*(1+Риски!$B$13)</f>
        <v>10.452265084518402</v>
      </c>
      <c r="BB15" s="128">
        <f>'Книга допущений'!$B180/1000*'Книга допущений'!$B$19^Расходы!BB$10*(1+Риски!$B$13)</f>
        <v>10.452265084518402</v>
      </c>
      <c r="BC15" s="128">
        <f>'Книга допущений'!$B180/1000*'Книга допущений'!$B$19^Расходы!BC$10*(1+Риски!$B$13)</f>
        <v>10.452265084518402</v>
      </c>
      <c r="BD15" s="128">
        <f>'Книга допущений'!$B180/1000*'Книга допущений'!$B$19^Расходы!BD$10*(1+Риски!$B$13)</f>
        <v>10.452265084518402</v>
      </c>
      <c r="BE15" s="128">
        <f>'Книга допущений'!$B180/1000*'Книга допущений'!$B$19^Расходы!BE$10*(1+Риски!$B$13)</f>
        <v>10.452265084518402</v>
      </c>
      <c r="BF15" s="128">
        <f>'Книга допущений'!$B180/1000*'Книга допущений'!$B$19^Расходы!BF$10*(1+Риски!$B$13)</f>
        <v>10.452265084518402</v>
      </c>
      <c r="BG15" s="128">
        <f>'Книга допущений'!$B180/1000*'Книга допущений'!$B$19^Расходы!BG$10*(1+Риски!$B$13)</f>
        <v>10.452265084518402</v>
      </c>
      <c r="BH15" s="128">
        <f>'Книга допущений'!$B180/1000*'Книга допущений'!$B$19^Расходы!BH$10*(1+Риски!$B$13)</f>
        <v>10.452265084518402</v>
      </c>
      <c r="BI15" s="128">
        <f>'Книга допущений'!$B180/1000*'Книга допущений'!$B$19^Расходы!BI$10*(1+Риски!$B$13)</f>
        <v>10.452265084518402</v>
      </c>
      <c r="BJ15" s="128">
        <f>'Книга допущений'!$B180/1000*'Книга допущений'!$B$19^Расходы!BJ$10*(1+Риски!$B$13)</f>
        <v>10.452265084518402</v>
      </c>
      <c r="BK15" s="128">
        <f>'Книга допущений'!$B180/1000*'Книга допущений'!$B$19^Расходы!BK$10*(1+Риски!$B$13)</f>
        <v>10.452265084518402</v>
      </c>
      <c r="BL15" s="128">
        <f>'Книга допущений'!$B180/1000*'Книга допущений'!$B$19^Расходы!BL$10*(1+Риски!$B$13)</f>
        <v>10.452265084518402</v>
      </c>
      <c r="BM15" s="128">
        <f>'Книга допущений'!$B180/1000*'Книга допущений'!$B$19^Расходы!BM$10*(1+Риски!$B$13)</f>
        <v>10.870355687899139</v>
      </c>
      <c r="BN15" s="128">
        <f>'Книга допущений'!$B180/1000*'Книга допущений'!$B$19^Расходы!BN$10*(1+Риски!$B$13)</f>
        <v>10.870355687899139</v>
      </c>
      <c r="BO15" s="128">
        <f>'Книга допущений'!$B180/1000*'Книга допущений'!$B$19^Расходы!BO$10*(1+Риски!$B$13)</f>
        <v>10.870355687899139</v>
      </c>
      <c r="BP15" s="128">
        <f>'Книга допущений'!$B180/1000*'Книга допущений'!$B$19^Расходы!BP$10*(1+Риски!$B$13)</f>
        <v>10.870355687899139</v>
      </c>
      <c r="BQ15" s="128">
        <f>'Книга допущений'!$B180/1000*'Книга допущений'!$B$19^Расходы!BQ$10*(1+Риски!$B$13)</f>
        <v>10.870355687899139</v>
      </c>
      <c r="BR15" s="128">
        <f>'Книга допущений'!$B180/1000*'Книга допущений'!$B$19^Расходы!BR$10*(1+Риски!$B$13)</f>
        <v>10.870355687899139</v>
      </c>
      <c r="BS15" s="128">
        <f>'Книга допущений'!$B180/1000*'Книга допущений'!$B$19^Расходы!BS$10*(1+Риски!$B$13)</f>
        <v>10.870355687899139</v>
      </c>
      <c r="BT15" s="128">
        <f>'Книга допущений'!$B180/1000*'Книга допущений'!$B$19^Расходы!BT$10*(1+Риски!$B$13)</f>
        <v>10.870355687899139</v>
      </c>
      <c r="BU15" s="128">
        <f>'Книга допущений'!$B180/1000*'Книга допущений'!$B$19^Расходы!BU$10*(1+Риски!$B$13)</f>
        <v>10.870355687899139</v>
      </c>
      <c r="BV15" s="128">
        <f>'Книга допущений'!$B180/1000*'Книга допущений'!$B$19^Расходы!BV$10*(1+Риски!$B$13)</f>
        <v>10.870355687899139</v>
      </c>
      <c r="BW15" s="128">
        <f>'Книга допущений'!$B180/1000*'Книга допущений'!$B$19^Расходы!BW$10*(1+Риски!$B$13)</f>
        <v>10.870355687899139</v>
      </c>
      <c r="BX15" s="128">
        <f>'Книга допущений'!$B180/1000*'Книга допущений'!$B$19^Расходы!BX$10*(1+Риски!$B$13)</f>
        <v>10.870355687899139</v>
      </c>
    </row>
    <row r="16" spans="1:76" s="28" customFormat="1" x14ac:dyDescent="0.25">
      <c r="A16" s="90" t="str">
        <f>'Книга допущений'!A181</f>
        <v>Охрана</v>
      </c>
      <c r="B16" s="128">
        <v>0</v>
      </c>
      <c r="C16" s="128">
        <v>0</v>
      </c>
      <c r="D16" s="128">
        <v>0</v>
      </c>
      <c r="E16" s="128">
        <v>0</v>
      </c>
      <c r="F16" s="128">
        <v>0</v>
      </c>
      <c r="G16" s="128">
        <v>0</v>
      </c>
      <c r="H16" s="128">
        <v>0</v>
      </c>
      <c r="I16" s="128">
        <v>0</v>
      </c>
      <c r="J16" s="128">
        <v>0</v>
      </c>
      <c r="K16" s="128">
        <f>'Книга допущений'!$B181/1000*'Книга допущений'!$B$19^Расходы!K$10</f>
        <v>104</v>
      </c>
      <c r="L16" s="128">
        <f>'Книга допущений'!$B181/1000*'Книга допущений'!$B$19^Расходы!L$10</f>
        <v>104</v>
      </c>
      <c r="M16" s="128">
        <f>'Книга допущений'!$B181/1000*'Книга допущений'!$B$19^Расходы!M$10</f>
        <v>104</v>
      </c>
      <c r="N16" s="128">
        <f>'Книга допущений'!$B181/1000*'Книга допущений'!$B$19^Расходы!N$10*(1+Риски!$B$13)</f>
        <v>104</v>
      </c>
      <c r="O16" s="128">
        <f>'Книга допущений'!$B181/1000*'Книга допущений'!$B$19^Расходы!O$10*(1+Риски!$B$13)</f>
        <v>104</v>
      </c>
      <c r="P16" s="128">
        <f>'Книга допущений'!$B181/1000*'Книга допущений'!$B$19^Расходы!P$10*(1+Риски!$B$13)</f>
        <v>104</v>
      </c>
      <c r="Q16" s="128">
        <f>'Книга допущений'!$B181/1000*'Книга допущений'!$B$19^Расходы!Q$10*(1+Риски!$B$13)</f>
        <v>108.16000000000001</v>
      </c>
      <c r="R16" s="128">
        <f>'Книга допущений'!$B181/1000*'Книга допущений'!$B$19^Расходы!R$10*(1+Риски!$B$13)</f>
        <v>108.16000000000001</v>
      </c>
      <c r="S16" s="128">
        <f>'Книга допущений'!$B181/1000*'Книга допущений'!$B$19^Расходы!S$10*(1+Риски!$B$13)</f>
        <v>108.16000000000001</v>
      </c>
      <c r="T16" s="128">
        <f>'Книга допущений'!$B181/1000*'Книга допущений'!$B$19^Расходы!T$10*(1+Риски!$B$13)</f>
        <v>108.16000000000001</v>
      </c>
      <c r="U16" s="128">
        <f>'Книга допущений'!$B181/1000*'Книга допущений'!$B$19^Расходы!U$10*(1+Риски!$B$13)</f>
        <v>108.16000000000001</v>
      </c>
      <c r="V16" s="128">
        <f>'Книга допущений'!$B181/1000*'Книга допущений'!$B$19^Расходы!V$10*(1+Риски!$B$13)</f>
        <v>108.16000000000001</v>
      </c>
      <c r="W16" s="128">
        <f>'Книга допущений'!$B181/1000*'Книга допущений'!$B$19^Расходы!W$10*(1+Риски!$B$13)</f>
        <v>108.16000000000001</v>
      </c>
      <c r="X16" s="128">
        <f>'Книга допущений'!$B181/1000*'Книга допущений'!$B$19^Расходы!X$10*(1+Риски!$B$13)</f>
        <v>108.16000000000001</v>
      </c>
      <c r="Y16" s="128">
        <f>'Книга допущений'!$B181/1000*'Книга допущений'!$B$19^Расходы!Y$10*(1+Риски!$B$13)</f>
        <v>108.16000000000001</v>
      </c>
      <c r="Z16" s="128">
        <f>'Книга допущений'!$B181/1000*'Книга допущений'!$B$19^Расходы!Z$10*(1+Риски!$B$13)</f>
        <v>108.16000000000001</v>
      </c>
      <c r="AA16" s="128">
        <f>'Книга допущений'!$B181/1000*'Книга допущений'!$B$19^Расходы!AA$10*(1+Риски!$B$13)</f>
        <v>108.16000000000001</v>
      </c>
      <c r="AB16" s="128">
        <f>'Книга допущений'!$B181/1000*'Книга допущений'!$B$19^Расходы!AB$10*(1+Риски!$B$13)</f>
        <v>108.16000000000001</v>
      </c>
      <c r="AC16" s="128">
        <f>'Книга допущений'!$B181/1000*'Книга допущений'!$B$19^Расходы!AC$10*(1+Риски!$B$13)</f>
        <v>112.4864</v>
      </c>
      <c r="AD16" s="128">
        <f>'Книга допущений'!$B181/1000*'Книга допущений'!$B$19^Расходы!AD$10*(1+Риски!$B$13)</f>
        <v>112.4864</v>
      </c>
      <c r="AE16" s="128">
        <f>'Книга допущений'!$B181/1000*'Книга допущений'!$B$19^Расходы!AE$10*(1+Риски!$B$13)</f>
        <v>112.4864</v>
      </c>
      <c r="AF16" s="128">
        <f>'Книга допущений'!$B181/1000*'Книга допущений'!$B$19^Расходы!AF$10*(1+Риски!$B$13)</f>
        <v>112.4864</v>
      </c>
      <c r="AG16" s="128">
        <f>'Книга допущений'!$B181/1000*'Книга допущений'!$B$19^Расходы!AG$10*(1+Риски!$B$13)</f>
        <v>112.4864</v>
      </c>
      <c r="AH16" s="128">
        <f>'Книга допущений'!$B181/1000*'Книга допущений'!$B$19^Расходы!AH$10*(1+Риски!$B$13)</f>
        <v>112.4864</v>
      </c>
      <c r="AI16" s="128">
        <f>'Книга допущений'!$B181/1000*'Книга допущений'!$B$19^Расходы!AI$10*(1+Риски!$B$13)</f>
        <v>112.4864</v>
      </c>
      <c r="AJ16" s="128">
        <f>'Книга допущений'!$B181/1000*'Книга допущений'!$B$19^Расходы!AJ$10*(1+Риски!$B$13)</f>
        <v>112.4864</v>
      </c>
      <c r="AK16" s="128">
        <f>'Книга допущений'!$B181/1000*'Книга допущений'!$B$19^Расходы!AK$10*(1+Риски!$B$13)</f>
        <v>112.4864</v>
      </c>
      <c r="AL16" s="128">
        <f>'Книга допущений'!$B181/1000*'Книга допущений'!$B$19^Расходы!AL$10*(1+Риски!$B$13)</f>
        <v>112.4864</v>
      </c>
      <c r="AM16" s="128">
        <f>'Книга допущений'!$B181/1000*'Книга допущений'!$B$19^Расходы!AM$10*(1+Риски!$B$13)</f>
        <v>112.4864</v>
      </c>
      <c r="AN16" s="128">
        <f>'Книга допущений'!$B181/1000*'Книга допущений'!$B$19^Расходы!AN$10*(1+Риски!$B$13)</f>
        <v>112.4864</v>
      </c>
      <c r="AO16" s="128">
        <f>'Книга допущений'!$B181/1000*'Книга допущений'!$B$19^Расходы!AO$10*(1+Риски!$B$13)</f>
        <v>116.98585600000003</v>
      </c>
      <c r="AP16" s="128">
        <f>'Книга допущений'!$B181/1000*'Книга допущений'!$B$19^Расходы!AP$10*(1+Риски!$B$13)</f>
        <v>116.98585600000003</v>
      </c>
      <c r="AQ16" s="128">
        <f>'Книга допущений'!$B181/1000*'Книга допущений'!$B$19^Расходы!AQ$10*(1+Риски!$B$13)</f>
        <v>116.98585600000003</v>
      </c>
      <c r="AR16" s="128">
        <f>'Книга допущений'!$B181/1000*'Книга допущений'!$B$19^Расходы!AR$10*(1+Риски!$B$13)</f>
        <v>116.98585600000003</v>
      </c>
      <c r="AS16" s="128">
        <f>'Книга допущений'!$B181/1000*'Книга допущений'!$B$19^Расходы!AS$10*(1+Риски!$B$13)</f>
        <v>116.98585600000003</v>
      </c>
      <c r="AT16" s="128">
        <f>'Книга допущений'!$B181/1000*'Книга допущений'!$B$19^Расходы!AT$10*(1+Риски!$B$13)</f>
        <v>116.98585600000003</v>
      </c>
      <c r="AU16" s="128">
        <f>'Книга допущений'!$B181/1000*'Книга допущений'!$B$19^Расходы!AU$10*(1+Риски!$B$13)</f>
        <v>116.98585600000003</v>
      </c>
      <c r="AV16" s="128">
        <f>'Книга допущений'!$B181/1000*'Книга допущений'!$B$19^Расходы!AV$10*(1+Риски!$B$13)</f>
        <v>116.98585600000003</v>
      </c>
      <c r="AW16" s="128">
        <f>'Книга допущений'!$B181/1000*'Книга допущений'!$B$19^Расходы!AW$10*(1+Риски!$B$13)</f>
        <v>116.98585600000003</v>
      </c>
      <c r="AX16" s="128">
        <f>'Книга допущений'!$B181/1000*'Книга допущений'!$B$19^Расходы!AX$10*(1+Риски!$B$13)</f>
        <v>116.98585600000003</v>
      </c>
      <c r="AY16" s="128">
        <f>'Книга допущений'!$B181/1000*'Книга допущений'!$B$19^Расходы!AY$10*(1+Риски!$B$13)</f>
        <v>116.98585600000003</v>
      </c>
      <c r="AZ16" s="128">
        <f>'Книга допущений'!$B181/1000*'Книга допущений'!$B$19^Расходы!AZ$10*(1+Риски!$B$13)</f>
        <v>116.98585600000003</v>
      </c>
      <c r="BA16" s="128">
        <f>'Книга допущений'!$B181/1000*'Книга допущений'!$B$19^Расходы!BA$10*(1+Риски!$B$13)</f>
        <v>121.66529024000003</v>
      </c>
      <c r="BB16" s="128">
        <f>'Книга допущений'!$B181/1000*'Книга допущений'!$B$19^Расходы!BB$10*(1+Риски!$B$13)</f>
        <v>121.66529024000003</v>
      </c>
      <c r="BC16" s="128">
        <f>'Книга допущений'!$B181/1000*'Книга допущений'!$B$19^Расходы!BC$10*(1+Риски!$B$13)</f>
        <v>121.66529024000003</v>
      </c>
      <c r="BD16" s="128">
        <f>'Книга допущений'!$B181/1000*'Книга допущений'!$B$19^Расходы!BD$10*(1+Риски!$B$13)</f>
        <v>121.66529024000003</v>
      </c>
      <c r="BE16" s="128">
        <f>'Книга допущений'!$B181/1000*'Книга допущений'!$B$19^Расходы!BE$10*(1+Риски!$B$13)</f>
        <v>121.66529024000003</v>
      </c>
      <c r="BF16" s="128">
        <f>'Книга допущений'!$B181/1000*'Книга допущений'!$B$19^Расходы!BF$10*(1+Риски!$B$13)</f>
        <v>121.66529024000003</v>
      </c>
      <c r="BG16" s="128">
        <f>'Книга допущений'!$B181/1000*'Книга допущений'!$B$19^Расходы!BG$10*(1+Риски!$B$13)</f>
        <v>121.66529024000003</v>
      </c>
      <c r="BH16" s="128">
        <f>'Книга допущений'!$B181/1000*'Книга допущений'!$B$19^Расходы!BH$10*(1+Риски!$B$13)</f>
        <v>121.66529024000003</v>
      </c>
      <c r="BI16" s="128">
        <f>'Книга допущений'!$B181/1000*'Книга допущений'!$B$19^Расходы!BI$10*(1+Риски!$B$13)</f>
        <v>121.66529024000003</v>
      </c>
      <c r="BJ16" s="128">
        <f>'Книга допущений'!$B181/1000*'Книга допущений'!$B$19^Расходы!BJ$10*(1+Риски!$B$13)</f>
        <v>121.66529024000003</v>
      </c>
      <c r="BK16" s="128">
        <f>'Книга допущений'!$B181/1000*'Книга допущений'!$B$19^Расходы!BK$10*(1+Риски!$B$13)</f>
        <v>121.66529024000003</v>
      </c>
      <c r="BL16" s="128">
        <f>'Книга допущений'!$B181/1000*'Книга допущений'!$B$19^Расходы!BL$10*(1+Риски!$B$13)</f>
        <v>121.66529024000003</v>
      </c>
      <c r="BM16" s="128">
        <f>'Книга допущений'!$B181/1000*'Книга допущений'!$B$19^Расходы!BM$10*(1+Риски!$B$13)</f>
        <v>126.53190184960003</v>
      </c>
      <c r="BN16" s="128">
        <f>'Книга допущений'!$B181/1000*'Книга допущений'!$B$19^Расходы!BN$10*(1+Риски!$B$13)</f>
        <v>126.53190184960003</v>
      </c>
      <c r="BO16" s="128">
        <f>'Книга допущений'!$B181/1000*'Книга допущений'!$B$19^Расходы!BO$10*(1+Риски!$B$13)</f>
        <v>126.53190184960003</v>
      </c>
      <c r="BP16" s="128">
        <f>'Книга допущений'!$B181/1000*'Книга допущений'!$B$19^Расходы!BP$10*(1+Риски!$B$13)</f>
        <v>126.53190184960003</v>
      </c>
      <c r="BQ16" s="128">
        <f>'Книга допущений'!$B181/1000*'Книга допущений'!$B$19^Расходы!BQ$10*(1+Риски!$B$13)</f>
        <v>126.53190184960003</v>
      </c>
      <c r="BR16" s="128">
        <f>'Книга допущений'!$B181/1000*'Книга допущений'!$B$19^Расходы!BR$10*(1+Риски!$B$13)</f>
        <v>126.53190184960003</v>
      </c>
      <c r="BS16" s="128">
        <f>'Книга допущений'!$B181/1000*'Книга допущений'!$B$19^Расходы!BS$10*(1+Риски!$B$13)</f>
        <v>126.53190184960003</v>
      </c>
      <c r="BT16" s="128">
        <f>'Книга допущений'!$B181/1000*'Книга допущений'!$B$19^Расходы!BT$10*(1+Риски!$B$13)</f>
        <v>126.53190184960003</v>
      </c>
      <c r="BU16" s="128">
        <f>'Книга допущений'!$B181/1000*'Книга допущений'!$B$19^Расходы!BU$10*(1+Риски!$B$13)</f>
        <v>126.53190184960003</v>
      </c>
      <c r="BV16" s="128">
        <f>'Книга допущений'!$B181/1000*'Книга допущений'!$B$19^Расходы!BV$10*(1+Риски!$B$13)</f>
        <v>126.53190184960003</v>
      </c>
      <c r="BW16" s="128">
        <f>'Книга допущений'!$B181/1000*'Книга допущений'!$B$19^Расходы!BW$10*(1+Риски!$B$13)</f>
        <v>126.53190184960003</v>
      </c>
      <c r="BX16" s="128">
        <f>'Книга допущений'!$B181/1000*'Книга допущений'!$B$19^Расходы!BX$10*(1+Риски!$B$13)</f>
        <v>126.53190184960003</v>
      </c>
    </row>
    <row r="17" spans="1:76" s="28" customFormat="1" x14ac:dyDescent="0.25">
      <c r="A17" s="90" t="str">
        <f>'Книга допущений'!A189</f>
        <v>Страхование объектов</v>
      </c>
      <c r="B17" s="128">
        <f>Вложения!F73</f>
        <v>0</v>
      </c>
      <c r="C17" s="128">
        <f>Вложения!G73</f>
        <v>0</v>
      </c>
      <c r="D17" s="128">
        <f>Вложения!H73</f>
        <v>0</v>
      </c>
      <c r="E17" s="128">
        <f>Вложения!I73</f>
        <v>0</v>
      </c>
      <c r="F17" s="128">
        <f>Вложения!J73</f>
        <v>0</v>
      </c>
      <c r="G17" s="128">
        <f>Вложения!K73</f>
        <v>0</v>
      </c>
      <c r="H17" s="128">
        <f>Вложения!L73</f>
        <v>0</v>
      </c>
      <c r="I17" s="128">
        <f>Вложения!M73</f>
        <v>0</v>
      </c>
      <c r="J17" s="128">
        <f>Вложения!N73</f>
        <v>0</v>
      </c>
      <c r="K17" s="128">
        <f>Вложения!O73</f>
        <v>126.20519442133333</v>
      </c>
      <c r="L17" s="128">
        <f>Вложения!P73</f>
        <v>125.1280876424254</v>
      </c>
      <c r="M17" s="128">
        <f>Вложения!Q73</f>
        <v>124.05098086351747</v>
      </c>
      <c r="N17" s="128">
        <f>Вложения!R73</f>
        <v>122.97387408460953</v>
      </c>
      <c r="O17" s="128">
        <f>Вложения!S73</f>
        <v>121.8967673057016</v>
      </c>
      <c r="P17" s="128">
        <f>Вложения!T73</f>
        <v>120.81966052679367</v>
      </c>
      <c r="Q17" s="128">
        <f>Вложения!U73</f>
        <v>119.74255374788574</v>
      </c>
      <c r="R17" s="128">
        <f>Вложения!V73</f>
        <v>118.6654469689778</v>
      </c>
      <c r="S17" s="128">
        <f>Вложения!W73</f>
        <v>117.58834019006987</v>
      </c>
      <c r="T17" s="128">
        <f>Вложения!X73</f>
        <v>116.51123341116194</v>
      </c>
      <c r="U17" s="128">
        <f>Вложения!Y73</f>
        <v>115.43412663225399</v>
      </c>
      <c r="V17" s="128">
        <f>Вложения!Z73</f>
        <v>114.35701985334606</v>
      </c>
      <c r="W17" s="128">
        <f>Вложения!AA73</f>
        <v>113.27991307443813</v>
      </c>
      <c r="X17" s="128">
        <f>Вложения!AB73</f>
        <v>112.20280629553019</v>
      </c>
      <c r="Y17" s="128">
        <f>Вложения!AC73</f>
        <v>111.12569951662226</v>
      </c>
      <c r="Z17" s="128">
        <f>Вложения!AD73</f>
        <v>110.04859273771433</v>
      </c>
      <c r="AA17" s="128">
        <f>Вложения!AE73</f>
        <v>108.9714859588064</v>
      </c>
      <c r="AB17" s="128">
        <f>Вложения!AF73</f>
        <v>107.89437917989846</v>
      </c>
      <c r="AC17" s="128">
        <f>Вложения!AG73</f>
        <v>106.81727240099053</v>
      </c>
      <c r="AD17" s="128">
        <f>Вложения!AH73</f>
        <v>105.7401656220826</v>
      </c>
      <c r="AE17" s="128">
        <f>Вложения!AI73</f>
        <v>104.66305884317467</v>
      </c>
      <c r="AF17" s="128">
        <f>Вложения!AJ73</f>
        <v>103.58595206426673</v>
      </c>
      <c r="AG17" s="128">
        <f>Вложения!AK73</f>
        <v>102.50884528535879</v>
      </c>
      <c r="AH17" s="128">
        <f>Вложения!AL73</f>
        <v>101.43173850645086</v>
      </c>
      <c r="AI17" s="128">
        <f>Вложения!AM73</f>
        <v>100.35463172754292</v>
      </c>
      <c r="AJ17" s="128">
        <f>Вложения!AN73</f>
        <v>99.277524948634991</v>
      </c>
      <c r="AK17" s="128">
        <f>Вложения!AO73</f>
        <v>98.200418169727058</v>
      </c>
      <c r="AL17" s="128">
        <f>Вложения!AP73</f>
        <v>97.123311390819126</v>
      </c>
      <c r="AM17" s="128">
        <f>Вложения!AQ73</f>
        <v>96.046204611911193</v>
      </c>
      <c r="AN17" s="128">
        <f>Вложения!AR73</f>
        <v>94.969097833003261</v>
      </c>
      <c r="AO17" s="128">
        <f>Вложения!AS73</f>
        <v>93.891991054095328</v>
      </c>
      <c r="AP17" s="128">
        <f>Вложения!AT73</f>
        <v>92.814884275187396</v>
      </c>
      <c r="AQ17" s="128">
        <f>Вложения!AU73</f>
        <v>91.737777496279463</v>
      </c>
      <c r="AR17" s="128">
        <f>Вложения!AV73</f>
        <v>90.660670717371531</v>
      </c>
      <c r="AS17" s="128">
        <f>Вложения!AW73</f>
        <v>89.58356393846357</v>
      </c>
      <c r="AT17" s="128">
        <f>Вложения!AX73</f>
        <v>88.506457159555637</v>
      </c>
      <c r="AU17" s="128">
        <f>Вложения!AY73</f>
        <v>87.429350380647705</v>
      </c>
      <c r="AV17" s="128">
        <f>Вложения!AZ73</f>
        <v>86.352243601739772</v>
      </c>
      <c r="AW17" s="128">
        <f>Вложения!BA73</f>
        <v>85.27513682283184</v>
      </c>
      <c r="AX17" s="128">
        <f>Вложения!BB73</f>
        <v>84.198030043923907</v>
      </c>
      <c r="AY17" s="128">
        <f>Вложения!BC73</f>
        <v>83.120923265015975</v>
      </c>
      <c r="AZ17" s="128">
        <f>Вложения!BD73</f>
        <v>82.043816486108042</v>
      </c>
      <c r="BA17" s="128">
        <f>Вложения!BE73</f>
        <v>80.96670970720011</v>
      </c>
      <c r="BB17" s="128">
        <f>Вложения!BF73</f>
        <v>79.889602928292177</v>
      </c>
      <c r="BC17" s="128">
        <f>Вложения!BG73</f>
        <v>78.812496149384245</v>
      </c>
      <c r="BD17" s="128">
        <f>Вложения!BH73</f>
        <v>77.735389370476312</v>
      </c>
      <c r="BE17" s="128">
        <f>Вложения!BI73</f>
        <v>76.65828259156838</v>
      </c>
      <c r="BF17" s="128">
        <f>Вложения!BJ73</f>
        <v>75.581175812660447</v>
      </c>
      <c r="BG17" s="128">
        <f>Вложения!BK73</f>
        <v>74.504069033752515</v>
      </c>
      <c r="BH17" s="128">
        <f>Вложения!BL73</f>
        <v>73.426962254844582</v>
      </c>
      <c r="BI17" s="128">
        <f>Вложения!BM73</f>
        <v>72.349855475936636</v>
      </c>
      <c r="BJ17" s="128">
        <f>Вложения!BN73</f>
        <v>71.272748697028703</v>
      </c>
      <c r="BK17" s="128">
        <f>Вложения!BO73</f>
        <v>70.195641918120771</v>
      </c>
      <c r="BL17" s="128">
        <f>Вложения!BP73</f>
        <v>69.118535139212838</v>
      </c>
      <c r="BM17" s="128">
        <f>Вложения!BQ73</f>
        <v>68.041428360304906</v>
      </c>
      <c r="BN17" s="128">
        <f>Вложения!BR73</f>
        <v>66.964321581396973</v>
      </c>
      <c r="BO17" s="128">
        <f>Вложения!BS73</f>
        <v>65.887214802489027</v>
      </c>
      <c r="BP17" s="128">
        <f>Вложения!BT73</f>
        <v>64.810108023581094</v>
      </c>
      <c r="BQ17" s="128">
        <f>Вложения!BU73</f>
        <v>63.733001244673169</v>
      </c>
      <c r="BR17" s="128">
        <f>Вложения!BV73</f>
        <v>62.655894465765236</v>
      </c>
      <c r="BS17" s="128">
        <f>Вложения!BW73</f>
        <v>61.617676575746181</v>
      </c>
      <c r="BT17" s="128">
        <f>Вложения!BX73</f>
        <v>60.579458685727126</v>
      </c>
      <c r="BU17" s="128">
        <f>Вложения!BY73</f>
        <v>59.54124079570807</v>
      </c>
      <c r="BV17" s="128">
        <f>Вложения!BZ73</f>
        <v>58.503022905689022</v>
      </c>
      <c r="BW17" s="128">
        <f>Вложения!CA73</f>
        <v>57.464805015669974</v>
      </c>
      <c r="BX17" s="128">
        <f>Вложения!CB73</f>
        <v>56.426587125650912</v>
      </c>
    </row>
    <row r="18" spans="1:76" s="28" customFormat="1" x14ac:dyDescent="0.25">
      <c r="A18" s="90" t="str">
        <f>'Книга допущений'!A182</f>
        <v>Текущий ремонт</v>
      </c>
      <c r="B18" s="128">
        <v>0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f>'Книга допущений'!$B182/1000*'Книга допущений'!$B$19^Расходы!K$10</f>
        <v>48.88</v>
      </c>
      <c r="L18" s="128">
        <f>'Книга допущений'!$B182/1000*'Книга допущений'!$B$19^Расходы!L$10</f>
        <v>48.88</v>
      </c>
      <c r="M18" s="128">
        <f>'Книга допущений'!$B182/1000*'Книга допущений'!$B$19^Расходы!M$10</f>
        <v>48.88</v>
      </c>
      <c r="N18" s="128">
        <f>'Книга допущений'!$B182/1000*'Книга допущений'!$B$19^Расходы!N$10</f>
        <v>48.88</v>
      </c>
      <c r="O18" s="128">
        <f>'Книга допущений'!$B182/1000*'Книга допущений'!$B$19^Расходы!O$10</f>
        <v>48.88</v>
      </c>
      <c r="P18" s="128">
        <f>'Книга допущений'!$B182/1000*'Книга допущений'!$B$19^Расходы!P$10</f>
        <v>48.88</v>
      </c>
      <c r="Q18" s="128">
        <f>'Книга допущений'!$B182/1000*'Книга допущений'!$B$19^Расходы!Q$10</f>
        <v>50.835200000000007</v>
      </c>
      <c r="R18" s="128">
        <f>'Книга допущений'!$B182/1000*'Книга допущений'!$B$19^Расходы!R$10</f>
        <v>50.835200000000007</v>
      </c>
      <c r="S18" s="128">
        <f>'Книга допущений'!$B182/1000*'Книга допущений'!$B$19^Расходы!S$10</f>
        <v>50.835200000000007</v>
      </c>
      <c r="T18" s="128">
        <f>'Книга допущений'!$B182/1000*'Книга допущений'!$B$19^Расходы!T$10</f>
        <v>50.835200000000007</v>
      </c>
      <c r="U18" s="128">
        <f>'Книга допущений'!$B182/1000*'Книга допущений'!$B$19^Расходы!U$10</f>
        <v>50.835200000000007</v>
      </c>
      <c r="V18" s="128">
        <f>'Книга допущений'!$B182/1000*'Книга допущений'!$B$19^Расходы!V$10</f>
        <v>50.835200000000007</v>
      </c>
      <c r="W18" s="128">
        <f>'Книга допущений'!$B182/1000*'Книга допущений'!$B$19^Расходы!W$10</f>
        <v>50.835200000000007</v>
      </c>
      <c r="X18" s="128">
        <f>'Книга допущений'!$B182/1000*'Книга допущений'!$B$19^Расходы!X$10</f>
        <v>50.835200000000007</v>
      </c>
      <c r="Y18" s="128">
        <f>'Книга допущений'!$B182/1000*'Книга допущений'!$B$19^Расходы!Y$10</f>
        <v>50.835200000000007</v>
      </c>
      <c r="Z18" s="128">
        <f>'Книга допущений'!$B182/1000*'Книга допущений'!$B$19^Расходы!Z$10</f>
        <v>50.835200000000007</v>
      </c>
      <c r="AA18" s="128">
        <f>'Книга допущений'!$B182/1000*'Книга допущений'!$B$19^Расходы!AA$10</f>
        <v>50.835200000000007</v>
      </c>
      <c r="AB18" s="128">
        <f>'Книга допущений'!$B182/1000*'Книга допущений'!$B$19^Расходы!AB$10</f>
        <v>50.835200000000007</v>
      </c>
      <c r="AC18" s="128">
        <f>'Книга допущений'!$B182/1000*'Книга допущений'!$B$19^Расходы!AC$10</f>
        <v>52.868608000000002</v>
      </c>
      <c r="AD18" s="128">
        <f>'Книга допущений'!$B182/1000*'Книга допущений'!$B$19^Расходы!AD$10</f>
        <v>52.868608000000002</v>
      </c>
      <c r="AE18" s="128">
        <f>'Книга допущений'!$B182/1000*'Книга допущений'!$B$19^Расходы!AE$10</f>
        <v>52.868608000000002</v>
      </c>
      <c r="AF18" s="128">
        <f>'Книга допущений'!$B182/1000*'Книга допущений'!$B$19^Расходы!AF$10</f>
        <v>52.868608000000002</v>
      </c>
      <c r="AG18" s="128">
        <f>'Книга допущений'!$B182/1000*'Книга допущений'!$B$19^Расходы!AG$10</f>
        <v>52.868608000000002</v>
      </c>
      <c r="AH18" s="128">
        <f>'Книга допущений'!$B182/1000*'Книга допущений'!$B$19^Расходы!AH$10</f>
        <v>52.868608000000002</v>
      </c>
      <c r="AI18" s="128">
        <f>'Книга допущений'!$B182/1000*'Книга допущений'!$B$19^Расходы!AI$10</f>
        <v>52.868608000000002</v>
      </c>
      <c r="AJ18" s="128">
        <f>'Книга допущений'!$B182/1000*'Книга допущений'!$B$19^Расходы!AJ$10</f>
        <v>52.868608000000002</v>
      </c>
      <c r="AK18" s="128">
        <f>'Книга допущений'!$B182/1000*'Книга допущений'!$B$19^Расходы!AK$10</f>
        <v>52.868608000000002</v>
      </c>
      <c r="AL18" s="128">
        <f>'Книга допущений'!$B182/1000*'Книга допущений'!$B$19^Расходы!AL$10</f>
        <v>52.868608000000002</v>
      </c>
      <c r="AM18" s="128">
        <f>'Книга допущений'!$B182/1000*'Книга допущений'!$B$19^Расходы!AM$10</f>
        <v>52.868608000000002</v>
      </c>
      <c r="AN18" s="128">
        <f>'Книга допущений'!$B182/1000*'Книга допущений'!$B$19^Расходы!AN$10</f>
        <v>52.868608000000002</v>
      </c>
      <c r="AO18" s="128">
        <f>'Книга допущений'!$B182/1000*'Книга допущений'!$B$19^Расходы!AO$10</f>
        <v>54.983352320000009</v>
      </c>
      <c r="AP18" s="128">
        <f>'Книга допущений'!$B182/1000*'Книга допущений'!$B$19^Расходы!AP$10</f>
        <v>54.983352320000009</v>
      </c>
      <c r="AQ18" s="128">
        <f>'Книга допущений'!$B182/1000*'Книга допущений'!$B$19^Расходы!AQ$10</f>
        <v>54.983352320000009</v>
      </c>
      <c r="AR18" s="128">
        <f>'Книга допущений'!$B182/1000*'Книга допущений'!$B$19^Расходы!AR$10</f>
        <v>54.983352320000009</v>
      </c>
      <c r="AS18" s="128">
        <f>'Книга допущений'!$B182/1000*'Книга допущений'!$B$19^Расходы!AS$10</f>
        <v>54.983352320000009</v>
      </c>
      <c r="AT18" s="128">
        <f>'Книга допущений'!$B182/1000*'Книга допущений'!$B$19^Расходы!AT$10</f>
        <v>54.983352320000009</v>
      </c>
      <c r="AU18" s="128">
        <f>'Книга допущений'!$B182/1000*'Книга допущений'!$B$19^Расходы!AU$10</f>
        <v>54.983352320000009</v>
      </c>
      <c r="AV18" s="128">
        <f>'Книга допущений'!$B182/1000*'Книга допущений'!$B$19^Расходы!AV$10</f>
        <v>54.983352320000009</v>
      </c>
      <c r="AW18" s="128">
        <f>'Книга допущений'!$B182/1000*'Книга допущений'!$B$19^Расходы!AW$10</f>
        <v>54.983352320000009</v>
      </c>
      <c r="AX18" s="128">
        <f>'Книга допущений'!$B182/1000*'Книга допущений'!$B$19^Расходы!AX$10</f>
        <v>54.983352320000009</v>
      </c>
      <c r="AY18" s="128">
        <f>'Книга допущений'!$B182/1000*'Книга допущений'!$B$19^Расходы!AY$10</f>
        <v>54.983352320000009</v>
      </c>
      <c r="AZ18" s="128">
        <f>'Книга допущений'!$B182/1000*'Книга допущений'!$B$19^Расходы!AZ$10</f>
        <v>54.983352320000009</v>
      </c>
      <c r="BA18" s="128">
        <f>'Книга допущений'!$B182/1000*'Книга допущений'!$B$19^Расходы!BA$10</f>
        <v>57.182686412800017</v>
      </c>
      <c r="BB18" s="128">
        <f>'Книга допущений'!$B182/1000*'Книга допущений'!$B$19^Расходы!BB$10</f>
        <v>57.182686412800017</v>
      </c>
      <c r="BC18" s="128">
        <f>'Книга допущений'!$B182/1000*'Книга допущений'!$B$19^Расходы!BC$10</f>
        <v>57.182686412800017</v>
      </c>
      <c r="BD18" s="128">
        <f>'Книга допущений'!$B182/1000*'Книга допущений'!$B$19^Расходы!BD$10</f>
        <v>57.182686412800017</v>
      </c>
      <c r="BE18" s="128">
        <f>'Книга допущений'!$B182/1000*'Книга допущений'!$B$19^Расходы!BE$10</f>
        <v>57.182686412800017</v>
      </c>
      <c r="BF18" s="128">
        <f>'Книга допущений'!$B182/1000*'Книга допущений'!$B$19^Расходы!BF$10</f>
        <v>57.182686412800017</v>
      </c>
      <c r="BG18" s="128">
        <f>'Книга допущений'!$B182/1000*'Книга допущений'!$B$19^Расходы!BG$10</f>
        <v>57.182686412800017</v>
      </c>
      <c r="BH18" s="128">
        <f>'Книга допущений'!$B182/1000*'Книга допущений'!$B$19^Расходы!BH$10</f>
        <v>57.182686412800017</v>
      </c>
      <c r="BI18" s="128">
        <f>'Книга допущений'!$B182/1000*'Книга допущений'!$B$19^Расходы!BI$10</f>
        <v>57.182686412800017</v>
      </c>
      <c r="BJ18" s="128">
        <f>'Книга допущений'!$B182/1000*'Книга допущений'!$B$19^Расходы!BJ$10</f>
        <v>57.182686412800017</v>
      </c>
      <c r="BK18" s="128">
        <f>'Книга допущений'!$B182/1000*'Книга допущений'!$B$19^Расходы!BK$10</f>
        <v>57.182686412800017</v>
      </c>
      <c r="BL18" s="128">
        <f>'Книга допущений'!$B182/1000*'Книга допущений'!$B$19^Расходы!BL$10</f>
        <v>57.182686412800017</v>
      </c>
      <c r="BM18" s="128">
        <f>'Книга допущений'!$B182/1000*'Книга допущений'!$B$19^Расходы!BM$10</f>
        <v>59.46999386931202</v>
      </c>
      <c r="BN18" s="128">
        <f>'Книга допущений'!$B182/1000*'Книга допущений'!$B$19^Расходы!BN$10</f>
        <v>59.46999386931202</v>
      </c>
      <c r="BO18" s="128">
        <f>'Книга допущений'!$B182/1000*'Книга допущений'!$B$19^Расходы!BO$10</f>
        <v>59.46999386931202</v>
      </c>
      <c r="BP18" s="128">
        <f>'Книга допущений'!$B182/1000*'Книга допущений'!$B$19^Расходы!BP$10</f>
        <v>59.46999386931202</v>
      </c>
      <c r="BQ18" s="128">
        <f>'Книга допущений'!$B182/1000*'Книга допущений'!$B$19^Расходы!BQ$10</f>
        <v>59.46999386931202</v>
      </c>
      <c r="BR18" s="128">
        <f>'Книга допущений'!$B182/1000*'Книга допущений'!$B$19^Расходы!BR$10</f>
        <v>59.46999386931202</v>
      </c>
      <c r="BS18" s="128">
        <f>'Книга допущений'!$B182/1000*'Книга допущений'!$B$19^Расходы!BS$10</f>
        <v>59.46999386931202</v>
      </c>
      <c r="BT18" s="128">
        <f>'Книга допущений'!$B182/1000*'Книга допущений'!$B$19^Расходы!BT$10</f>
        <v>59.46999386931202</v>
      </c>
      <c r="BU18" s="128">
        <f>'Книга допущений'!$B182/1000*'Книга допущений'!$B$19^Расходы!BU$10</f>
        <v>59.46999386931202</v>
      </c>
      <c r="BV18" s="128">
        <f>'Книга допущений'!$B182/1000*'Книга допущений'!$B$19^Расходы!BV$10</f>
        <v>59.46999386931202</v>
      </c>
      <c r="BW18" s="128">
        <f>'Книга допущений'!$B182/1000*'Книга допущений'!$B$19^Расходы!BW$10</f>
        <v>59.46999386931202</v>
      </c>
      <c r="BX18" s="128">
        <f>'Книга допущений'!$B182/1000*'Книга допущений'!$B$19^Расходы!BX$10</f>
        <v>59.46999386931202</v>
      </c>
    </row>
    <row r="19" spans="1:76" s="30" customFormat="1" ht="14.25" customHeight="1" x14ac:dyDescent="0.25">
      <c r="A19" s="90" t="str">
        <f>'Книга допущений'!A183</f>
        <v>Наружная и печатная реклама</v>
      </c>
      <c r="B19" s="128">
        <v>0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f>'Книга допущений'!$B183/1000*'Книга допущений'!$B$19^Расходы!K$10*(1+Риски!$B$13)</f>
        <v>31.200000000000003</v>
      </c>
      <c r="L19" s="128">
        <f>'Книга допущений'!$B183/1000*'Книга допущений'!$B$19^Расходы!L$10*(1+Риски!$B$13)</f>
        <v>31.200000000000003</v>
      </c>
      <c r="M19" s="128">
        <f>'Книга допущений'!$B183/1000*'Книга допущений'!$B$19^Расходы!M$10*(1+Риски!$B$13)</f>
        <v>31.200000000000003</v>
      </c>
      <c r="N19" s="128">
        <f>'Книга допущений'!$B183/1000*'Книга допущений'!$B$19^Расходы!N$10*(1+Риски!$B$13)</f>
        <v>31.200000000000003</v>
      </c>
      <c r="O19" s="128">
        <f>'Книга допущений'!$B183/1000*'Книга допущений'!$B$19^Расходы!O$10*(1+Риски!$B$13)</f>
        <v>31.200000000000003</v>
      </c>
      <c r="P19" s="128">
        <f>'Книга допущений'!$B183/1000*'Книга допущений'!$B$19^Расходы!P$10*(1+Риски!$B$13)</f>
        <v>31.200000000000003</v>
      </c>
      <c r="Q19" s="128">
        <f>'Книга допущений'!$B183/1000*'Книга допущений'!$B$19^Расходы!Q$10*(1+Риски!$B$13)</f>
        <v>32.448</v>
      </c>
      <c r="R19" s="128">
        <f>'Книга допущений'!$B183/1000*'Книга допущений'!$B$19^Расходы!R$10*(1+Риски!$B$13)</f>
        <v>32.448</v>
      </c>
      <c r="S19" s="128">
        <f>'Книга допущений'!$B183/1000*'Книга допущений'!$B$19^Расходы!S$10*(1+Риски!$B$13)</f>
        <v>32.448</v>
      </c>
      <c r="T19" s="128">
        <f>'Книга допущений'!$B183/1000*'Книга допущений'!$B$19^Расходы!T$10*(1+Риски!$B$13)</f>
        <v>32.448</v>
      </c>
      <c r="U19" s="128">
        <f>'Книга допущений'!$B183/1000*'Книга допущений'!$B$19^Расходы!U$10*(1+Риски!$B$13)</f>
        <v>32.448</v>
      </c>
      <c r="V19" s="128">
        <f>'Книга допущений'!$B183/1000*'Книга допущений'!$B$19^Расходы!V$10*(1+Риски!$B$13)</f>
        <v>32.448</v>
      </c>
      <c r="W19" s="128">
        <f>'Книга допущений'!$B183/1000*'Книга допущений'!$B$19^Расходы!W$10*(1+Риски!$B$13)</f>
        <v>32.448</v>
      </c>
      <c r="X19" s="128">
        <f>'Книга допущений'!$B183/1000*'Книга допущений'!$B$19^Расходы!X$10*(1+Риски!$B$13)</f>
        <v>32.448</v>
      </c>
      <c r="Y19" s="128">
        <f>'Книга допущений'!$B183/1000*'Книга допущений'!$B$19^Расходы!Y$10*(1+Риски!$B$13)</f>
        <v>32.448</v>
      </c>
      <c r="Z19" s="128">
        <f>'Книга допущений'!$B183/1000*'Книга допущений'!$B$19^Расходы!Z$10*(1+Риски!$B$13)</f>
        <v>32.448</v>
      </c>
      <c r="AA19" s="128">
        <f>'Книга допущений'!$B183/1000*'Книга допущений'!$B$19^Расходы!AA$10*(1+Риски!$B$13)</f>
        <v>32.448</v>
      </c>
      <c r="AB19" s="128">
        <f>'Книга допущений'!$B183/1000*'Книга допущений'!$B$19^Расходы!AB$10*(1+Риски!$B$13)</f>
        <v>32.448</v>
      </c>
      <c r="AC19" s="128">
        <f>'Книга допущений'!$B183/1000*'Книга допущений'!$B$19^Расходы!AC$10*(1+Риски!$B$13)</f>
        <v>33.745920000000005</v>
      </c>
      <c r="AD19" s="128">
        <f>'Книга допущений'!$B183/1000*'Книга допущений'!$B$19^Расходы!AD$10*(1+Риски!$B$13)</f>
        <v>33.745920000000005</v>
      </c>
      <c r="AE19" s="128">
        <f>'Книга допущений'!$B183/1000*'Книга допущений'!$B$19^Расходы!AE$10*(1+Риски!$B$13)</f>
        <v>33.745920000000005</v>
      </c>
      <c r="AF19" s="128">
        <f>'Книга допущений'!$B183/1000*'Книга допущений'!$B$19^Расходы!AF$10*(1+Риски!$B$13)</f>
        <v>33.745920000000005</v>
      </c>
      <c r="AG19" s="128">
        <f>'Книга допущений'!$B183/1000*'Книга допущений'!$B$19^Расходы!AG$10*(1+Риски!$B$13)</f>
        <v>33.745920000000005</v>
      </c>
      <c r="AH19" s="128">
        <f>'Книга допущений'!$B183/1000*'Книга допущений'!$B$19^Расходы!AH$10*(1+Риски!$B$13)</f>
        <v>33.745920000000005</v>
      </c>
      <c r="AI19" s="128">
        <f>'Книга допущений'!$B183/1000*'Книга допущений'!$B$19^Расходы!AI$10*(1+Риски!$B$13)</f>
        <v>33.745920000000005</v>
      </c>
      <c r="AJ19" s="128">
        <f>'Книга допущений'!$B183/1000*'Книга допущений'!$B$19^Расходы!AJ$10*(1+Риски!$B$13)</f>
        <v>33.745920000000005</v>
      </c>
      <c r="AK19" s="128">
        <f>'Книга допущений'!$B183/1000*'Книга допущений'!$B$19^Расходы!AK$10*(1+Риски!$B$13)</f>
        <v>33.745920000000005</v>
      </c>
      <c r="AL19" s="128">
        <f>'Книга допущений'!$B183/1000*'Книга допущений'!$B$19^Расходы!AL$10*(1+Риски!$B$13)</f>
        <v>33.745920000000005</v>
      </c>
      <c r="AM19" s="128">
        <f>'Книга допущений'!$B183/1000*'Книга допущений'!$B$19^Расходы!AM$10*(1+Риски!$B$13)</f>
        <v>33.745920000000005</v>
      </c>
      <c r="AN19" s="128">
        <f>'Книга допущений'!$B183/1000*'Книга допущений'!$B$19^Расходы!AN$10*(1+Риски!$B$13)</f>
        <v>33.745920000000005</v>
      </c>
      <c r="AO19" s="128">
        <f>'Книга допущений'!$B183/1000*'Книга допущений'!$B$19^Расходы!AO$10*(1+Риски!$B$13)</f>
        <v>35.095756800000004</v>
      </c>
      <c r="AP19" s="128">
        <f>'Книга допущений'!$B183/1000*'Книга допущений'!$B$19^Расходы!AP$10*(1+Риски!$B$13)</f>
        <v>35.095756800000004</v>
      </c>
      <c r="AQ19" s="128">
        <f>'Книга допущений'!$B183/1000*'Книга допущений'!$B$19^Расходы!AQ$10*(1+Риски!$B$13)</f>
        <v>35.095756800000004</v>
      </c>
      <c r="AR19" s="128">
        <f>'Книга допущений'!$B183/1000*'Книга допущений'!$B$19^Расходы!AR$10*(1+Риски!$B$13)</f>
        <v>35.095756800000004</v>
      </c>
      <c r="AS19" s="128">
        <f>'Книга допущений'!$B183/1000*'Книга допущений'!$B$19^Расходы!AS$10*(1+Риски!$B$13)</f>
        <v>35.095756800000004</v>
      </c>
      <c r="AT19" s="128">
        <f>'Книга допущений'!$B183/1000*'Книга допущений'!$B$19^Расходы!AT$10*(1+Риски!$B$13)</f>
        <v>35.095756800000004</v>
      </c>
      <c r="AU19" s="128">
        <f>'Книга допущений'!$B183/1000*'Книга допущений'!$B$19^Расходы!AU$10*(1+Риски!$B$13)</f>
        <v>35.095756800000004</v>
      </c>
      <c r="AV19" s="128">
        <f>'Книга допущений'!$B183/1000*'Книга допущений'!$B$19^Расходы!AV$10*(1+Риски!$B$13)</f>
        <v>35.095756800000004</v>
      </c>
      <c r="AW19" s="128">
        <f>'Книга допущений'!$B183/1000*'Книга допущений'!$B$19^Расходы!AW$10*(1+Риски!$B$13)</f>
        <v>35.095756800000004</v>
      </c>
      <c r="AX19" s="128">
        <f>'Книга допущений'!$B183/1000*'Книга допущений'!$B$19^Расходы!AX$10*(1+Риски!$B$13)</f>
        <v>35.095756800000004</v>
      </c>
      <c r="AY19" s="128">
        <f>'Книга допущений'!$B183/1000*'Книга допущений'!$B$19^Расходы!AY$10*(1+Риски!$B$13)</f>
        <v>35.095756800000004</v>
      </c>
      <c r="AZ19" s="128">
        <f>'Книга допущений'!$B183/1000*'Книга допущений'!$B$19^Расходы!AZ$10*(1+Риски!$B$13)</f>
        <v>35.095756800000004</v>
      </c>
      <c r="BA19" s="128">
        <f>'Книга допущений'!$B183/1000*'Книга допущений'!$B$19^Расходы!BA$10*(1+Риски!$B$13)</f>
        <v>36.499587072000011</v>
      </c>
      <c r="BB19" s="128">
        <f>'Книга допущений'!$B183/1000*'Книга допущений'!$B$19^Расходы!BB$10*(1+Риски!$B$13)</f>
        <v>36.499587072000011</v>
      </c>
      <c r="BC19" s="128">
        <f>'Книга допущений'!$B183/1000*'Книга допущений'!$B$19^Расходы!BC$10*(1+Риски!$B$13)</f>
        <v>36.499587072000011</v>
      </c>
      <c r="BD19" s="128">
        <f>'Книга допущений'!$B183/1000*'Книга допущений'!$B$19^Расходы!BD$10*(1+Риски!$B$13)</f>
        <v>36.499587072000011</v>
      </c>
      <c r="BE19" s="128">
        <f>'Книга допущений'!$B183/1000*'Книга допущений'!$B$19^Расходы!BE$10*(1+Риски!$B$13)</f>
        <v>36.499587072000011</v>
      </c>
      <c r="BF19" s="128">
        <f>'Книга допущений'!$B183/1000*'Книга допущений'!$B$19^Расходы!BF$10*(1+Риски!$B$13)</f>
        <v>36.499587072000011</v>
      </c>
      <c r="BG19" s="128">
        <f>'Книга допущений'!$B183/1000*'Книга допущений'!$B$19^Расходы!BG$10*(1+Риски!$B$13)</f>
        <v>36.499587072000011</v>
      </c>
      <c r="BH19" s="128">
        <f>'Книга допущений'!$B183/1000*'Книга допущений'!$B$19^Расходы!BH$10*(1+Риски!$B$13)</f>
        <v>36.499587072000011</v>
      </c>
      <c r="BI19" s="128">
        <f>'Книга допущений'!$B183/1000*'Книга допущений'!$B$19^Расходы!BI$10*(1+Риски!$B$13)</f>
        <v>36.499587072000011</v>
      </c>
      <c r="BJ19" s="128">
        <f>'Книга допущений'!$B183/1000*'Книга допущений'!$B$19^Расходы!BJ$10*(1+Риски!$B$13)</f>
        <v>36.499587072000011</v>
      </c>
      <c r="BK19" s="128">
        <f>'Книга допущений'!$B183/1000*'Книга допущений'!$B$19^Расходы!BK$10*(1+Риски!$B$13)</f>
        <v>36.499587072000011</v>
      </c>
      <c r="BL19" s="128">
        <f>'Книга допущений'!$B183/1000*'Книга допущений'!$B$19^Расходы!BL$10*(1+Риски!$B$13)</f>
        <v>36.499587072000011</v>
      </c>
      <c r="BM19" s="128">
        <f>'Книга допущений'!$B183/1000*'Книга допущений'!$B$19^Расходы!BM$10*(1+Риски!$B$13)</f>
        <v>37.95957055488001</v>
      </c>
      <c r="BN19" s="128">
        <f>'Книга допущений'!$B183/1000*'Книга допущений'!$B$19^Расходы!BN$10*(1+Риски!$B$13)</f>
        <v>37.95957055488001</v>
      </c>
      <c r="BO19" s="128">
        <f>'Книга допущений'!$B183/1000*'Книга допущений'!$B$19^Расходы!BO$10*(1+Риски!$B$13)</f>
        <v>37.95957055488001</v>
      </c>
      <c r="BP19" s="128">
        <f>'Книга допущений'!$B183/1000*'Книга допущений'!$B$19^Расходы!BP$10*(1+Риски!$B$13)</f>
        <v>37.95957055488001</v>
      </c>
      <c r="BQ19" s="128">
        <f>'Книга допущений'!$B183/1000*'Книга допущений'!$B$19^Расходы!BQ$10*(1+Риски!$B$13)</f>
        <v>37.95957055488001</v>
      </c>
      <c r="BR19" s="128">
        <f>'Книга допущений'!$B183/1000*'Книга допущений'!$B$19^Расходы!BR$10*(1+Риски!$B$13)</f>
        <v>37.95957055488001</v>
      </c>
      <c r="BS19" s="128">
        <f>'Книга допущений'!$B183/1000*'Книга допущений'!$B$19^Расходы!BS$10*(1+Риски!$B$13)</f>
        <v>37.95957055488001</v>
      </c>
      <c r="BT19" s="128">
        <f>'Книга допущений'!$B183/1000*'Книга допущений'!$B$19^Расходы!BT$10*(1+Риски!$B$13)</f>
        <v>37.95957055488001</v>
      </c>
      <c r="BU19" s="128">
        <f>'Книга допущений'!$B183/1000*'Книга допущений'!$B$19^Расходы!BU$10*(1+Риски!$B$13)</f>
        <v>37.95957055488001</v>
      </c>
      <c r="BV19" s="128">
        <f>'Книга допущений'!$B183/1000*'Книга допущений'!$B$19^Расходы!BV$10*(1+Риски!$B$13)</f>
        <v>37.95957055488001</v>
      </c>
      <c r="BW19" s="128">
        <f>'Книга допущений'!$B183/1000*'Книга допущений'!$B$19^Расходы!BW$10*(1+Риски!$B$13)</f>
        <v>37.95957055488001</v>
      </c>
      <c r="BX19" s="128">
        <f>'Книга допущений'!$B183/1000*'Книга допущений'!$B$19^Расходы!BX$10*(1+Риски!$B$13)</f>
        <v>37.95957055488001</v>
      </c>
    </row>
    <row r="20" spans="1:76" s="43" customFormat="1" x14ac:dyDescent="0.25">
      <c r="A20" s="90" t="str">
        <f>'Книга допущений'!A184</f>
        <v>Бухгалтерское обслуживание</v>
      </c>
      <c r="B20" s="128">
        <v>0</v>
      </c>
      <c r="C20" s="128">
        <v>0</v>
      </c>
      <c r="D20" s="128">
        <v>0</v>
      </c>
      <c r="E20" s="128">
        <v>0</v>
      </c>
      <c r="F20" s="128">
        <v>0</v>
      </c>
      <c r="G20" s="128">
        <v>0</v>
      </c>
      <c r="H20" s="128">
        <v>0</v>
      </c>
      <c r="I20" s="128">
        <v>0</v>
      </c>
      <c r="J20" s="128">
        <v>0</v>
      </c>
      <c r="K20" s="128">
        <f>'Книга допущений'!$B184/1000*'Книга допущений'!$B$19^Расходы!K$10</f>
        <v>20.8</v>
      </c>
      <c r="L20" s="128">
        <f>'Книга допущений'!$B184/1000*'Книга допущений'!$B$19^Расходы!L$10</f>
        <v>20.8</v>
      </c>
      <c r="M20" s="128">
        <f>'Книга допущений'!$B184/1000*'Книга допущений'!$B$19^Расходы!M$10</f>
        <v>20.8</v>
      </c>
      <c r="N20" s="128">
        <f>'Книга допущений'!$B184/1000*'Книга допущений'!$B$19^Расходы!N$10</f>
        <v>20.8</v>
      </c>
      <c r="O20" s="128">
        <f>'Книга допущений'!$B184/1000*'Книга допущений'!$B$19^Расходы!O$10</f>
        <v>20.8</v>
      </c>
      <c r="P20" s="128">
        <f>'Книга допущений'!$B184/1000*'Книга допущений'!$B$19^Расходы!P$10</f>
        <v>20.8</v>
      </c>
      <c r="Q20" s="128">
        <f>'Книга допущений'!$B184/1000*'Книга допущений'!$B$19^Расходы!Q$10</f>
        <v>21.632000000000001</v>
      </c>
      <c r="R20" s="128">
        <f>'Книга допущений'!$B184/1000*'Книга допущений'!$B$19^Расходы!R$10</f>
        <v>21.632000000000001</v>
      </c>
      <c r="S20" s="128">
        <f>'Книга допущений'!$B184/1000*'Книга допущений'!$B$19^Расходы!S$10</f>
        <v>21.632000000000001</v>
      </c>
      <c r="T20" s="128">
        <f>'Книга допущений'!$B184/1000*'Книга допущений'!$B$19^Расходы!T$10</f>
        <v>21.632000000000001</v>
      </c>
      <c r="U20" s="128">
        <f>'Книга допущений'!$B184/1000*'Книга допущений'!$B$19^Расходы!U$10</f>
        <v>21.632000000000001</v>
      </c>
      <c r="V20" s="128">
        <f>'Книга допущений'!$B184/1000*'Книга допущений'!$B$19^Расходы!V$10</f>
        <v>21.632000000000001</v>
      </c>
      <c r="W20" s="128">
        <f>'Книга допущений'!$B184/1000*'Книга допущений'!$B$19^Расходы!W$10</f>
        <v>21.632000000000001</v>
      </c>
      <c r="X20" s="128">
        <f>'Книга допущений'!$B184/1000*'Книга допущений'!$B$19^Расходы!X$10</f>
        <v>21.632000000000001</v>
      </c>
      <c r="Y20" s="128">
        <f>'Книга допущений'!$B184/1000*'Книга допущений'!$B$19^Расходы!Y$10</f>
        <v>21.632000000000001</v>
      </c>
      <c r="Z20" s="128">
        <f>'Книга допущений'!$B184/1000*'Книга допущений'!$B$19^Расходы!Z$10</f>
        <v>21.632000000000001</v>
      </c>
      <c r="AA20" s="128">
        <f>'Книга допущений'!$B184/1000*'Книга допущений'!$B$19^Расходы!AA$10</f>
        <v>21.632000000000001</v>
      </c>
      <c r="AB20" s="128">
        <f>'Книга допущений'!$B184/1000*'Книга допущений'!$B$19^Расходы!AB$10</f>
        <v>21.632000000000001</v>
      </c>
      <c r="AC20" s="128">
        <f>'Книга допущений'!$B184/1000*'Книга допущений'!$B$19^Расходы!AC$10</f>
        <v>22.497280000000003</v>
      </c>
      <c r="AD20" s="128">
        <f>'Книга допущений'!$B184/1000*'Книга допущений'!$B$19^Расходы!AD$10</f>
        <v>22.497280000000003</v>
      </c>
      <c r="AE20" s="128">
        <f>'Книга допущений'!$B184/1000*'Книга допущений'!$B$19^Расходы!AE$10</f>
        <v>22.497280000000003</v>
      </c>
      <c r="AF20" s="128">
        <f>'Книга допущений'!$B184/1000*'Книга допущений'!$B$19^Расходы!AF$10</f>
        <v>22.497280000000003</v>
      </c>
      <c r="AG20" s="128">
        <f>'Книга допущений'!$B184/1000*'Книга допущений'!$B$19^Расходы!AG$10</f>
        <v>22.497280000000003</v>
      </c>
      <c r="AH20" s="128">
        <f>'Книга допущений'!$B184/1000*'Книга допущений'!$B$19^Расходы!AH$10</f>
        <v>22.497280000000003</v>
      </c>
      <c r="AI20" s="128">
        <f>'Книга допущений'!$B184/1000*'Книга допущений'!$B$19^Расходы!AI$10</f>
        <v>22.497280000000003</v>
      </c>
      <c r="AJ20" s="128">
        <f>'Книга допущений'!$B184/1000*'Книга допущений'!$B$19^Расходы!AJ$10</f>
        <v>22.497280000000003</v>
      </c>
      <c r="AK20" s="128">
        <f>'Книга допущений'!$B184/1000*'Книга допущений'!$B$19^Расходы!AK$10</f>
        <v>22.497280000000003</v>
      </c>
      <c r="AL20" s="128">
        <f>'Книга допущений'!$B184/1000*'Книга допущений'!$B$19^Расходы!AL$10</f>
        <v>22.497280000000003</v>
      </c>
      <c r="AM20" s="128">
        <f>'Книга допущений'!$B184/1000*'Книга допущений'!$B$19^Расходы!AM$10</f>
        <v>22.497280000000003</v>
      </c>
      <c r="AN20" s="128">
        <f>'Книга допущений'!$B184/1000*'Книга допущений'!$B$19^Расходы!AN$10</f>
        <v>22.497280000000003</v>
      </c>
      <c r="AO20" s="128">
        <f>'Книга допущений'!$B184/1000*'Книга допущений'!$B$19^Расходы!AO$10</f>
        <v>23.397171200000003</v>
      </c>
      <c r="AP20" s="128">
        <f>'Книга допущений'!$B184/1000*'Книга допущений'!$B$19^Расходы!AP$10</f>
        <v>23.397171200000003</v>
      </c>
      <c r="AQ20" s="128">
        <f>'Книга допущений'!$B184/1000*'Книга допущений'!$B$19^Расходы!AQ$10</f>
        <v>23.397171200000003</v>
      </c>
      <c r="AR20" s="128">
        <f>'Книга допущений'!$B184/1000*'Книга допущений'!$B$19^Расходы!AR$10</f>
        <v>23.397171200000003</v>
      </c>
      <c r="AS20" s="128">
        <f>'Книга допущений'!$B184/1000*'Книга допущений'!$B$19^Расходы!AS$10</f>
        <v>23.397171200000003</v>
      </c>
      <c r="AT20" s="128">
        <f>'Книга допущений'!$B184/1000*'Книга допущений'!$B$19^Расходы!AT$10</f>
        <v>23.397171200000003</v>
      </c>
      <c r="AU20" s="128">
        <f>'Книга допущений'!$B184/1000*'Книга допущений'!$B$19^Расходы!AU$10</f>
        <v>23.397171200000003</v>
      </c>
      <c r="AV20" s="128">
        <f>'Книга допущений'!$B184/1000*'Книга допущений'!$B$19^Расходы!AV$10</f>
        <v>23.397171200000003</v>
      </c>
      <c r="AW20" s="128">
        <f>'Книга допущений'!$B184/1000*'Книга допущений'!$B$19^Расходы!AW$10</f>
        <v>23.397171200000003</v>
      </c>
      <c r="AX20" s="128">
        <f>'Книга допущений'!$B184/1000*'Книга допущений'!$B$19^Расходы!AX$10</f>
        <v>23.397171200000003</v>
      </c>
      <c r="AY20" s="128">
        <f>'Книга допущений'!$B184/1000*'Книга допущений'!$B$19^Расходы!AY$10</f>
        <v>23.397171200000003</v>
      </c>
      <c r="AZ20" s="128">
        <f>'Книга допущений'!$B184/1000*'Книга допущений'!$B$19^Расходы!AZ$10</f>
        <v>23.397171200000003</v>
      </c>
      <c r="BA20" s="128">
        <f>'Книга допущений'!$B184/1000*'Книга допущений'!$B$19^Расходы!BA$10</f>
        <v>24.333058048000005</v>
      </c>
      <c r="BB20" s="128">
        <f>'Книга допущений'!$B184/1000*'Книга допущений'!$B$19^Расходы!BB$10</f>
        <v>24.333058048000005</v>
      </c>
      <c r="BC20" s="128">
        <f>'Книга допущений'!$B184/1000*'Книга допущений'!$B$19^Расходы!BC$10</f>
        <v>24.333058048000005</v>
      </c>
      <c r="BD20" s="128">
        <f>'Книга допущений'!$B184/1000*'Книга допущений'!$B$19^Расходы!BD$10</f>
        <v>24.333058048000005</v>
      </c>
      <c r="BE20" s="128">
        <f>'Книга допущений'!$B184/1000*'Книга допущений'!$B$19^Расходы!BE$10</f>
        <v>24.333058048000005</v>
      </c>
      <c r="BF20" s="128">
        <f>'Книга допущений'!$B184/1000*'Книга допущений'!$B$19^Расходы!BF$10</f>
        <v>24.333058048000005</v>
      </c>
      <c r="BG20" s="128">
        <f>'Книга допущений'!$B184/1000*'Книга допущений'!$B$19^Расходы!BG$10</f>
        <v>24.333058048000005</v>
      </c>
      <c r="BH20" s="128">
        <f>'Книга допущений'!$B184/1000*'Книга допущений'!$B$19^Расходы!BH$10</f>
        <v>24.333058048000005</v>
      </c>
      <c r="BI20" s="128">
        <f>'Книга допущений'!$B184/1000*'Книга допущений'!$B$19^Расходы!BI$10</f>
        <v>24.333058048000005</v>
      </c>
      <c r="BJ20" s="128">
        <f>'Книга допущений'!$B184/1000*'Книга допущений'!$B$19^Расходы!BJ$10</f>
        <v>24.333058048000005</v>
      </c>
      <c r="BK20" s="128">
        <f>'Книга допущений'!$B184/1000*'Книга допущений'!$B$19^Расходы!BK$10</f>
        <v>24.333058048000005</v>
      </c>
      <c r="BL20" s="128">
        <f>'Книга допущений'!$B184/1000*'Книга допущений'!$B$19^Расходы!BL$10</f>
        <v>24.333058048000005</v>
      </c>
      <c r="BM20" s="128">
        <f>'Книга допущений'!$B184/1000*'Книга допущений'!$B$19^Расходы!BM$10</f>
        <v>25.306380369920007</v>
      </c>
      <c r="BN20" s="128">
        <f>'Книга допущений'!$B184/1000*'Книга допущений'!$B$19^Расходы!BN$10</f>
        <v>25.306380369920007</v>
      </c>
      <c r="BO20" s="128">
        <f>'Книга допущений'!$B184/1000*'Книга допущений'!$B$19^Расходы!BO$10</f>
        <v>25.306380369920007</v>
      </c>
      <c r="BP20" s="128">
        <f>'Книга допущений'!$B184/1000*'Книга допущений'!$B$19^Расходы!BP$10</f>
        <v>25.306380369920007</v>
      </c>
      <c r="BQ20" s="128">
        <f>'Книга допущений'!$B184/1000*'Книга допущений'!$B$19^Расходы!BQ$10</f>
        <v>25.306380369920007</v>
      </c>
      <c r="BR20" s="128">
        <f>'Книга допущений'!$B184/1000*'Книга допущений'!$B$19^Расходы!BR$10</f>
        <v>25.306380369920007</v>
      </c>
      <c r="BS20" s="128">
        <f>'Книга допущений'!$B184/1000*'Книга допущений'!$B$19^Расходы!BS$10</f>
        <v>25.306380369920007</v>
      </c>
      <c r="BT20" s="128">
        <f>'Книга допущений'!$B184/1000*'Книга допущений'!$B$19^Расходы!BT$10</f>
        <v>25.306380369920007</v>
      </c>
      <c r="BU20" s="128">
        <f>'Книга допущений'!$B184/1000*'Книга допущений'!$B$19^Расходы!BU$10</f>
        <v>25.306380369920007</v>
      </c>
      <c r="BV20" s="128">
        <f>'Книга допущений'!$B184/1000*'Книга допущений'!$B$19^Расходы!BV$10</f>
        <v>25.306380369920007</v>
      </c>
      <c r="BW20" s="128">
        <f>'Книга допущений'!$B184/1000*'Книга допущений'!$B$19^Расходы!BW$10</f>
        <v>25.306380369920007</v>
      </c>
      <c r="BX20" s="128">
        <f>'Книга допущений'!$B184/1000*'Книга допущений'!$B$19^Расходы!BX$10</f>
        <v>25.306380369920007</v>
      </c>
    </row>
    <row r="21" spans="1:76" s="43" customFormat="1" x14ac:dyDescent="0.25">
      <c r="A21" s="90" t="str">
        <f>'Книга допущений'!A185</f>
        <v>Офисные расходы</v>
      </c>
      <c r="B21" s="128">
        <v>0</v>
      </c>
      <c r="C21" s="128">
        <v>0</v>
      </c>
      <c r="D21" s="128">
        <v>0</v>
      </c>
      <c r="E21" s="128">
        <v>0</v>
      </c>
      <c r="F21" s="128">
        <v>0</v>
      </c>
      <c r="G21" s="128">
        <v>0</v>
      </c>
      <c r="H21" s="128">
        <v>0</v>
      </c>
      <c r="I21" s="128">
        <v>0</v>
      </c>
      <c r="J21" s="128">
        <v>0</v>
      </c>
      <c r="K21" s="128">
        <f>'Книга допущений'!$B185/1000*'Книга допущений'!$B$19^Расходы!K$10</f>
        <v>15.600000000000001</v>
      </c>
      <c r="L21" s="128">
        <f>'Книга допущений'!$B185/1000*'Книга допущений'!$B$19^Расходы!L$10</f>
        <v>15.600000000000001</v>
      </c>
      <c r="M21" s="128">
        <f>'Книга допущений'!$B185/1000*'Книга допущений'!$B$19^Расходы!M$10</f>
        <v>15.600000000000001</v>
      </c>
      <c r="N21" s="128">
        <f>'Книга допущений'!$B185/1000*'Книга допущений'!$B$19^Расходы!N$10</f>
        <v>15.600000000000001</v>
      </c>
      <c r="O21" s="128">
        <f>'Книга допущений'!$B185/1000*'Книга допущений'!$B$19^Расходы!O$10</f>
        <v>15.600000000000001</v>
      </c>
      <c r="P21" s="128">
        <f>'Книга допущений'!$B185/1000*'Книга допущений'!$B$19^Расходы!P$10</f>
        <v>15.600000000000001</v>
      </c>
      <c r="Q21" s="128">
        <f>'Книга допущений'!$B185/1000*'Книга допущений'!$B$19^Расходы!Q$10</f>
        <v>16.224</v>
      </c>
      <c r="R21" s="128">
        <f>'Книга допущений'!$B185/1000*'Книга допущений'!$B$19^Расходы!R$10</f>
        <v>16.224</v>
      </c>
      <c r="S21" s="128">
        <f>'Книга допущений'!$B185/1000*'Книга допущений'!$B$19^Расходы!S$10</f>
        <v>16.224</v>
      </c>
      <c r="T21" s="128">
        <f>'Книга допущений'!$B185/1000*'Книга допущений'!$B$19^Расходы!T$10</f>
        <v>16.224</v>
      </c>
      <c r="U21" s="128">
        <f>'Книга допущений'!$B185/1000*'Книга допущений'!$B$19^Расходы!U$10</f>
        <v>16.224</v>
      </c>
      <c r="V21" s="128">
        <f>'Книга допущений'!$B185/1000*'Книга допущений'!$B$19^Расходы!V$10</f>
        <v>16.224</v>
      </c>
      <c r="W21" s="128">
        <f>'Книга допущений'!$B185/1000*'Книга допущений'!$B$19^Расходы!W$10</f>
        <v>16.224</v>
      </c>
      <c r="X21" s="128">
        <f>'Книга допущений'!$B185/1000*'Книга допущений'!$B$19^Расходы!X$10</f>
        <v>16.224</v>
      </c>
      <c r="Y21" s="128">
        <f>'Книга допущений'!$B185/1000*'Книга допущений'!$B$19^Расходы!Y$10</f>
        <v>16.224</v>
      </c>
      <c r="Z21" s="128">
        <f>'Книга допущений'!$B185/1000*'Книга допущений'!$B$19^Расходы!Z$10</f>
        <v>16.224</v>
      </c>
      <c r="AA21" s="128">
        <f>'Книга допущений'!$B185/1000*'Книга допущений'!$B$19^Расходы!AA$10</f>
        <v>16.224</v>
      </c>
      <c r="AB21" s="128">
        <f>'Книга допущений'!$B185/1000*'Книга допущений'!$B$19^Расходы!AB$10</f>
        <v>16.224</v>
      </c>
      <c r="AC21" s="128">
        <f>'Книга допущений'!$B185/1000*'Книга допущений'!$B$19^Расходы!AC$10</f>
        <v>16.872960000000003</v>
      </c>
      <c r="AD21" s="128">
        <f>'Книга допущений'!$B185/1000*'Книга допущений'!$B$19^Расходы!AD$10</f>
        <v>16.872960000000003</v>
      </c>
      <c r="AE21" s="128">
        <f>'Книга допущений'!$B185/1000*'Книга допущений'!$B$19^Расходы!AE$10</f>
        <v>16.872960000000003</v>
      </c>
      <c r="AF21" s="128">
        <f>'Книга допущений'!$B185/1000*'Книга допущений'!$B$19^Расходы!AF$10</f>
        <v>16.872960000000003</v>
      </c>
      <c r="AG21" s="128">
        <f>'Книга допущений'!$B185/1000*'Книга допущений'!$B$19^Расходы!AG$10</f>
        <v>16.872960000000003</v>
      </c>
      <c r="AH21" s="128">
        <f>'Книга допущений'!$B185/1000*'Книга допущений'!$B$19^Расходы!AH$10</f>
        <v>16.872960000000003</v>
      </c>
      <c r="AI21" s="128">
        <f>'Книга допущений'!$B185/1000*'Книга допущений'!$B$19^Расходы!AI$10</f>
        <v>16.872960000000003</v>
      </c>
      <c r="AJ21" s="128">
        <f>'Книга допущений'!$B185/1000*'Книга допущений'!$B$19^Расходы!AJ$10</f>
        <v>16.872960000000003</v>
      </c>
      <c r="AK21" s="128">
        <f>'Книга допущений'!$B185/1000*'Книга допущений'!$B$19^Расходы!AK$10</f>
        <v>16.872960000000003</v>
      </c>
      <c r="AL21" s="128">
        <f>'Книга допущений'!$B185/1000*'Книга допущений'!$B$19^Расходы!AL$10</f>
        <v>16.872960000000003</v>
      </c>
      <c r="AM21" s="128">
        <f>'Книга допущений'!$B185/1000*'Книга допущений'!$B$19^Расходы!AM$10</f>
        <v>16.872960000000003</v>
      </c>
      <c r="AN21" s="128">
        <f>'Книга допущений'!$B185/1000*'Книга допущений'!$B$19^Расходы!AN$10</f>
        <v>16.872960000000003</v>
      </c>
      <c r="AO21" s="128">
        <f>'Книга допущений'!$B185/1000*'Книга допущений'!$B$19^Расходы!AO$10</f>
        <v>17.547878400000002</v>
      </c>
      <c r="AP21" s="128">
        <f>'Книга допущений'!$B185/1000*'Книга допущений'!$B$19^Расходы!AP$10</f>
        <v>17.547878400000002</v>
      </c>
      <c r="AQ21" s="128">
        <f>'Книга допущений'!$B185/1000*'Книга допущений'!$B$19^Расходы!AQ$10</f>
        <v>17.547878400000002</v>
      </c>
      <c r="AR21" s="128">
        <f>'Книга допущений'!$B185/1000*'Книга допущений'!$B$19^Расходы!AR$10</f>
        <v>17.547878400000002</v>
      </c>
      <c r="AS21" s="128">
        <f>'Книга допущений'!$B185/1000*'Книга допущений'!$B$19^Расходы!AS$10</f>
        <v>17.547878400000002</v>
      </c>
      <c r="AT21" s="128">
        <f>'Книга допущений'!$B185/1000*'Книга допущений'!$B$19^Расходы!AT$10</f>
        <v>17.547878400000002</v>
      </c>
      <c r="AU21" s="128">
        <f>'Книга допущений'!$B185/1000*'Книга допущений'!$B$19^Расходы!AU$10</f>
        <v>17.547878400000002</v>
      </c>
      <c r="AV21" s="128">
        <f>'Книга допущений'!$B185/1000*'Книга допущений'!$B$19^Расходы!AV$10</f>
        <v>17.547878400000002</v>
      </c>
      <c r="AW21" s="128">
        <f>'Книга допущений'!$B185/1000*'Книга допущений'!$B$19^Расходы!AW$10</f>
        <v>17.547878400000002</v>
      </c>
      <c r="AX21" s="128">
        <f>'Книга допущений'!$B185/1000*'Книга допущений'!$B$19^Расходы!AX$10</f>
        <v>17.547878400000002</v>
      </c>
      <c r="AY21" s="128">
        <f>'Книга допущений'!$B185/1000*'Книга допущений'!$B$19^Расходы!AY$10</f>
        <v>17.547878400000002</v>
      </c>
      <c r="AZ21" s="128">
        <f>'Книга допущений'!$B185/1000*'Книга допущений'!$B$19^Расходы!AZ$10</f>
        <v>17.547878400000002</v>
      </c>
      <c r="BA21" s="128">
        <f>'Книга допущений'!$B185/1000*'Книга допущений'!$B$19^Расходы!BA$10</f>
        <v>18.249793536000006</v>
      </c>
      <c r="BB21" s="128">
        <f>'Книга допущений'!$B185/1000*'Книга допущений'!$B$19^Расходы!BB$10</f>
        <v>18.249793536000006</v>
      </c>
      <c r="BC21" s="128">
        <f>'Книга допущений'!$B185/1000*'Книга допущений'!$B$19^Расходы!BC$10</f>
        <v>18.249793536000006</v>
      </c>
      <c r="BD21" s="128">
        <f>'Книга допущений'!$B185/1000*'Книга допущений'!$B$19^Расходы!BD$10</f>
        <v>18.249793536000006</v>
      </c>
      <c r="BE21" s="128">
        <f>'Книга допущений'!$B185/1000*'Книга допущений'!$B$19^Расходы!BE$10</f>
        <v>18.249793536000006</v>
      </c>
      <c r="BF21" s="128">
        <f>'Книга допущений'!$B185/1000*'Книга допущений'!$B$19^Расходы!BF$10</f>
        <v>18.249793536000006</v>
      </c>
      <c r="BG21" s="128">
        <f>'Книга допущений'!$B185/1000*'Книга допущений'!$B$19^Расходы!BG$10</f>
        <v>18.249793536000006</v>
      </c>
      <c r="BH21" s="128">
        <f>'Книга допущений'!$B185/1000*'Книга допущений'!$B$19^Расходы!BH$10</f>
        <v>18.249793536000006</v>
      </c>
      <c r="BI21" s="128">
        <f>'Книга допущений'!$B185/1000*'Книга допущений'!$B$19^Расходы!BI$10</f>
        <v>18.249793536000006</v>
      </c>
      <c r="BJ21" s="128">
        <f>'Книга допущений'!$B185/1000*'Книга допущений'!$B$19^Расходы!BJ$10</f>
        <v>18.249793536000006</v>
      </c>
      <c r="BK21" s="128">
        <f>'Книга допущений'!$B185/1000*'Книга допущений'!$B$19^Расходы!BK$10</f>
        <v>18.249793536000006</v>
      </c>
      <c r="BL21" s="128">
        <f>'Книга допущений'!$B185/1000*'Книга допущений'!$B$19^Расходы!BL$10</f>
        <v>18.249793536000006</v>
      </c>
      <c r="BM21" s="128">
        <f>'Книга допущений'!$B185/1000*'Книга допущений'!$B$19^Расходы!BM$10</f>
        <v>18.979785277440005</v>
      </c>
      <c r="BN21" s="128">
        <f>'Книга допущений'!$B185/1000*'Книга допущений'!$B$19^Расходы!BN$10</f>
        <v>18.979785277440005</v>
      </c>
      <c r="BO21" s="128">
        <f>'Книга допущений'!$B185/1000*'Книга допущений'!$B$19^Расходы!BO$10</f>
        <v>18.979785277440005</v>
      </c>
      <c r="BP21" s="128">
        <f>'Книга допущений'!$B185/1000*'Книга допущений'!$B$19^Расходы!BP$10</f>
        <v>18.979785277440005</v>
      </c>
      <c r="BQ21" s="128">
        <f>'Книга допущений'!$B185/1000*'Книга допущений'!$B$19^Расходы!BQ$10</f>
        <v>18.979785277440005</v>
      </c>
      <c r="BR21" s="128">
        <f>'Книга допущений'!$B185/1000*'Книга допущений'!$B$19^Расходы!BR$10</f>
        <v>18.979785277440005</v>
      </c>
      <c r="BS21" s="128">
        <f>'Книга допущений'!$B185/1000*'Книга допущений'!$B$19^Расходы!BS$10</f>
        <v>18.979785277440005</v>
      </c>
      <c r="BT21" s="128">
        <f>'Книга допущений'!$B185/1000*'Книга допущений'!$B$19^Расходы!BT$10</f>
        <v>18.979785277440005</v>
      </c>
      <c r="BU21" s="128">
        <f>'Книга допущений'!$B185/1000*'Книга допущений'!$B$19^Расходы!BU$10</f>
        <v>18.979785277440005</v>
      </c>
      <c r="BV21" s="128">
        <f>'Книга допущений'!$B185/1000*'Книга допущений'!$B$19^Расходы!BV$10</f>
        <v>18.979785277440005</v>
      </c>
      <c r="BW21" s="128">
        <f>'Книга допущений'!$B185/1000*'Книга допущений'!$B$19^Расходы!BW$10</f>
        <v>18.979785277440005</v>
      </c>
      <c r="BX21" s="128">
        <f>'Книга допущений'!$B185/1000*'Книга допущений'!$B$19^Расходы!BX$10</f>
        <v>18.979785277440005</v>
      </c>
    </row>
    <row r="22" spans="1:76" s="43" customFormat="1" x14ac:dyDescent="0.25">
      <c r="A22" s="90" t="str">
        <f>'Книга допущений'!A186</f>
        <v>Связь и интернет</v>
      </c>
      <c r="B22" s="128">
        <v>0</v>
      </c>
      <c r="C22" s="128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f>'Книга допущений'!$B186/1000*'Книга допущений'!$B$19^Расходы!K$10</f>
        <v>7.28</v>
      </c>
      <c r="L22" s="128">
        <f>'Книга допущений'!$B186/1000*'Книга допущений'!$B$19^Расходы!L$10</f>
        <v>7.28</v>
      </c>
      <c r="M22" s="128">
        <f>'Книга допущений'!$B186/1000*'Книга допущений'!$B$19^Расходы!M$10</f>
        <v>7.28</v>
      </c>
      <c r="N22" s="128">
        <f>'Книга допущений'!$B186/1000*'Книга допущений'!$B$19^Расходы!N$10</f>
        <v>7.28</v>
      </c>
      <c r="O22" s="128">
        <f>'Книга допущений'!$B186/1000*'Книга допущений'!$B$19^Расходы!O$10</f>
        <v>7.28</v>
      </c>
      <c r="P22" s="128">
        <f>'Книга допущений'!$B186/1000*'Книга допущений'!$B$19^Расходы!P$10</f>
        <v>7.28</v>
      </c>
      <c r="Q22" s="128">
        <f>'Книга допущений'!$B186/1000*'Книга допущений'!$B$19^Расходы!Q$10</f>
        <v>7.571200000000001</v>
      </c>
      <c r="R22" s="128">
        <f>'Книга допущений'!$B186/1000*'Книга допущений'!$B$19^Расходы!R$10</f>
        <v>7.571200000000001</v>
      </c>
      <c r="S22" s="128">
        <f>'Книга допущений'!$B186/1000*'Книга допущений'!$B$19^Расходы!S$10</f>
        <v>7.571200000000001</v>
      </c>
      <c r="T22" s="128">
        <f>'Книга допущений'!$B186/1000*'Книга допущений'!$B$19^Расходы!T$10</f>
        <v>7.571200000000001</v>
      </c>
      <c r="U22" s="128">
        <f>'Книга допущений'!$B186/1000*'Книга допущений'!$B$19^Расходы!U$10</f>
        <v>7.571200000000001</v>
      </c>
      <c r="V22" s="128">
        <f>'Книга допущений'!$B186/1000*'Книга допущений'!$B$19^Расходы!V$10</f>
        <v>7.571200000000001</v>
      </c>
      <c r="W22" s="128">
        <f>'Книга допущений'!$B186/1000*'Книга допущений'!$B$19^Расходы!W$10</f>
        <v>7.571200000000001</v>
      </c>
      <c r="X22" s="128">
        <f>'Книга допущений'!$B186/1000*'Книга допущений'!$B$19^Расходы!X$10</f>
        <v>7.571200000000001</v>
      </c>
      <c r="Y22" s="128">
        <f>'Книга допущений'!$B186/1000*'Книга допущений'!$B$19^Расходы!Y$10</f>
        <v>7.571200000000001</v>
      </c>
      <c r="Z22" s="128">
        <f>'Книга допущений'!$B186/1000*'Книга допущений'!$B$19^Расходы!Z$10</f>
        <v>7.571200000000001</v>
      </c>
      <c r="AA22" s="128">
        <f>'Книга допущений'!$B186/1000*'Книга допущений'!$B$19^Расходы!AA$10</f>
        <v>7.571200000000001</v>
      </c>
      <c r="AB22" s="128">
        <f>'Книга допущений'!$B186/1000*'Книга допущений'!$B$19^Расходы!AB$10</f>
        <v>7.571200000000001</v>
      </c>
      <c r="AC22" s="128">
        <f>'Книга допущений'!$B186/1000*'Книга допущений'!$B$19^Расходы!AC$10</f>
        <v>7.8740480000000002</v>
      </c>
      <c r="AD22" s="128">
        <f>'Книга допущений'!$B186/1000*'Книга допущений'!$B$19^Расходы!AD$10</f>
        <v>7.8740480000000002</v>
      </c>
      <c r="AE22" s="128">
        <f>'Книга допущений'!$B186/1000*'Книга допущений'!$B$19^Расходы!AE$10</f>
        <v>7.8740480000000002</v>
      </c>
      <c r="AF22" s="128">
        <f>'Книга допущений'!$B186/1000*'Книга допущений'!$B$19^Расходы!AF$10</f>
        <v>7.8740480000000002</v>
      </c>
      <c r="AG22" s="128">
        <f>'Книга допущений'!$B186/1000*'Книга допущений'!$B$19^Расходы!AG$10</f>
        <v>7.8740480000000002</v>
      </c>
      <c r="AH22" s="128">
        <f>'Книга допущений'!$B186/1000*'Книга допущений'!$B$19^Расходы!AH$10</f>
        <v>7.8740480000000002</v>
      </c>
      <c r="AI22" s="128">
        <f>'Книга допущений'!$B186/1000*'Книга допущений'!$B$19^Расходы!AI$10</f>
        <v>7.8740480000000002</v>
      </c>
      <c r="AJ22" s="128">
        <f>'Книга допущений'!$B186/1000*'Книга допущений'!$B$19^Расходы!AJ$10</f>
        <v>7.8740480000000002</v>
      </c>
      <c r="AK22" s="128">
        <f>'Книга допущений'!$B186/1000*'Книга допущений'!$B$19^Расходы!AK$10</f>
        <v>7.8740480000000002</v>
      </c>
      <c r="AL22" s="128">
        <f>'Книга допущений'!$B186/1000*'Книга допущений'!$B$19^Расходы!AL$10</f>
        <v>7.8740480000000002</v>
      </c>
      <c r="AM22" s="128">
        <f>'Книга допущений'!$B186/1000*'Книга допущений'!$B$19^Расходы!AM$10</f>
        <v>7.8740480000000002</v>
      </c>
      <c r="AN22" s="128">
        <f>'Книга допущений'!$B186/1000*'Книга допущений'!$B$19^Расходы!AN$10</f>
        <v>7.8740480000000002</v>
      </c>
      <c r="AO22" s="128">
        <f>'Книга допущений'!$B186/1000*'Книга допущений'!$B$19^Расходы!AO$10</f>
        <v>8.1890099200000019</v>
      </c>
      <c r="AP22" s="128">
        <f>'Книга допущений'!$B186/1000*'Книга допущений'!$B$19^Расходы!AP$10</f>
        <v>8.1890099200000019</v>
      </c>
      <c r="AQ22" s="128">
        <f>'Книга допущений'!$B186/1000*'Книга допущений'!$B$19^Расходы!AQ$10</f>
        <v>8.1890099200000019</v>
      </c>
      <c r="AR22" s="128">
        <f>'Книга допущений'!$B186/1000*'Книга допущений'!$B$19^Расходы!AR$10</f>
        <v>8.1890099200000019</v>
      </c>
      <c r="AS22" s="128">
        <f>'Книга допущений'!$B186/1000*'Книга допущений'!$B$19^Расходы!AS$10</f>
        <v>8.1890099200000019</v>
      </c>
      <c r="AT22" s="128">
        <f>'Книга допущений'!$B186/1000*'Книга допущений'!$B$19^Расходы!AT$10</f>
        <v>8.1890099200000019</v>
      </c>
      <c r="AU22" s="128">
        <f>'Книга допущений'!$B186/1000*'Книга допущений'!$B$19^Расходы!AU$10</f>
        <v>8.1890099200000019</v>
      </c>
      <c r="AV22" s="128">
        <f>'Книга допущений'!$B186/1000*'Книга допущений'!$B$19^Расходы!AV$10</f>
        <v>8.1890099200000019</v>
      </c>
      <c r="AW22" s="128">
        <f>'Книга допущений'!$B186/1000*'Книга допущений'!$B$19^Расходы!AW$10</f>
        <v>8.1890099200000019</v>
      </c>
      <c r="AX22" s="128">
        <f>'Книга допущений'!$B186/1000*'Книга допущений'!$B$19^Расходы!AX$10</f>
        <v>8.1890099200000019</v>
      </c>
      <c r="AY22" s="128">
        <f>'Книга допущений'!$B186/1000*'Книга допущений'!$B$19^Расходы!AY$10</f>
        <v>8.1890099200000019</v>
      </c>
      <c r="AZ22" s="128">
        <f>'Книга допущений'!$B186/1000*'Книга допущений'!$B$19^Расходы!AZ$10</f>
        <v>8.1890099200000019</v>
      </c>
      <c r="BA22" s="128">
        <f>'Книга допущений'!$B186/1000*'Книга допущений'!$B$19^Расходы!BA$10</f>
        <v>8.5165703168000029</v>
      </c>
      <c r="BB22" s="128">
        <f>'Книга допущений'!$B186/1000*'Книга допущений'!$B$19^Расходы!BB$10</f>
        <v>8.5165703168000029</v>
      </c>
      <c r="BC22" s="128">
        <f>'Книга допущений'!$B186/1000*'Книга допущений'!$B$19^Расходы!BC$10</f>
        <v>8.5165703168000029</v>
      </c>
      <c r="BD22" s="128">
        <f>'Книга допущений'!$B186/1000*'Книга допущений'!$B$19^Расходы!BD$10</f>
        <v>8.5165703168000029</v>
      </c>
      <c r="BE22" s="128">
        <f>'Книга допущений'!$B186/1000*'Книга допущений'!$B$19^Расходы!BE$10</f>
        <v>8.5165703168000029</v>
      </c>
      <c r="BF22" s="128">
        <f>'Книга допущений'!$B186/1000*'Книга допущений'!$B$19^Расходы!BF$10</f>
        <v>8.5165703168000029</v>
      </c>
      <c r="BG22" s="128">
        <f>'Книга допущений'!$B186/1000*'Книга допущений'!$B$19^Расходы!BG$10</f>
        <v>8.5165703168000029</v>
      </c>
      <c r="BH22" s="128">
        <f>'Книга допущений'!$B186/1000*'Книга допущений'!$B$19^Расходы!BH$10</f>
        <v>8.5165703168000029</v>
      </c>
      <c r="BI22" s="128">
        <f>'Книга допущений'!$B186/1000*'Книга допущений'!$B$19^Расходы!BI$10</f>
        <v>8.5165703168000029</v>
      </c>
      <c r="BJ22" s="128">
        <f>'Книга допущений'!$B186/1000*'Книга допущений'!$B$19^Расходы!BJ$10</f>
        <v>8.5165703168000029</v>
      </c>
      <c r="BK22" s="128">
        <f>'Книга допущений'!$B186/1000*'Книга допущений'!$B$19^Расходы!BK$10</f>
        <v>8.5165703168000029</v>
      </c>
      <c r="BL22" s="128">
        <f>'Книга допущений'!$B186/1000*'Книга допущений'!$B$19^Расходы!BL$10</f>
        <v>8.5165703168000029</v>
      </c>
      <c r="BM22" s="128">
        <f>'Книга допущений'!$B186/1000*'Книга допущений'!$B$19^Расходы!BM$10</f>
        <v>8.8572331294720019</v>
      </c>
      <c r="BN22" s="128">
        <f>'Книга допущений'!$B186/1000*'Книга допущений'!$B$19^Расходы!BN$10</f>
        <v>8.8572331294720019</v>
      </c>
      <c r="BO22" s="128">
        <f>'Книга допущений'!$B186/1000*'Книга допущений'!$B$19^Расходы!BO$10</f>
        <v>8.8572331294720019</v>
      </c>
      <c r="BP22" s="128">
        <f>'Книга допущений'!$B186/1000*'Книга допущений'!$B$19^Расходы!BP$10</f>
        <v>8.8572331294720019</v>
      </c>
      <c r="BQ22" s="128">
        <f>'Книга допущений'!$B186/1000*'Книга допущений'!$B$19^Расходы!BQ$10</f>
        <v>8.8572331294720019</v>
      </c>
      <c r="BR22" s="128">
        <f>'Книга допущений'!$B186/1000*'Книга допущений'!$B$19^Расходы!BR$10</f>
        <v>8.8572331294720019</v>
      </c>
      <c r="BS22" s="128">
        <f>'Книга допущений'!$B186/1000*'Книга допущений'!$B$19^Расходы!BS$10</f>
        <v>8.8572331294720019</v>
      </c>
      <c r="BT22" s="128">
        <f>'Книга допущений'!$B186/1000*'Книга допущений'!$B$19^Расходы!BT$10</f>
        <v>8.8572331294720019</v>
      </c>
      <c r="BU22" s="128">
        <f>'Книга допущений'!$B186/1000*'Книга допущений'!$B$19^Расходы!BU$10</f>
        <v>8.8572331294720019</v>
      </c>
      <c r="BV22" s="128">
        <f>'Книга допущений'!$B186/1000*'Книга допущений'!$B$19^Расходы!BV$10</f>
        <v>8.8572331294720019</v>
      </c>
      <c r="BW22" s="128">
        <f>'Книга допущений'!$B186/1000*'Книга допущений'!$B$19^Расходы!BW$10</f>
        <v>8.8572331294720019</v>
      </c>
      <c r="BX22" s="128">
        <f>'Книга допущений'!$B186/1000*'Книга допущений'!$B$19^Расходы!BX$10</f>
        <v>8.8572331294720019</v>
      </c>
    </row>
    <row r="23" spans="1:76" s="43" customFormat="1" x14ac:dyDescent="0.25">
      <c r="A23" s="90" t="str">
        <f>'Книга допущений'!A187</f>
        <v>Прочие расходы</v>
      </c>
      <c r="B23" s="128">
        <v>0</v>
      </c>
      <c r="C23" s="128">
        <v>0</v>
      </c>
      <c r="D23" s="128">
        <v>0</v>
      </c>
      <c r="E23" s="128">
        <v>0</v>
      </c>
      <c r="F23" s="128">
        <v>0</v>
      </c>
      <c r="G23" s="128">
        <v>0</v>
      </c>
      <c r="H23" s="128">
        <v>0</v>
      </c>
      <c r="I23" s="128">
        <v>0</v>
      </c>
      <c r="J23" s="128">
        <v>0</v>
      </c>
      <c r="K23" s="128">
        <f>'Книга допущений'!$B187/1000*'Книга допущений'!$B$19^Расходы!K$10</f>
        <v>52</v>
      </c>
      <c r="L23" s="128">
        <f>'Книга допущений'!$B187/1000*'Книга допущений'!$B$19^Расходы!L$10</f>
        <v>52</v>
      </c>
      <c r="M23" s="128">
        <f>'Книга допущений'!$B187/1000*'Книга допущений'!$B$19^Расходы!M$10</f>
        <v>52</v>
      </c>
      <c r="N23" s="128">
        <f>'Книга допущений'!$B187/1000*'Книга допущений'!$B$19^Расходы!N$10</f>
        <v>52</v>
      </c>
      <c r="O23" s="128">
        <f>'Книга допущений'!$B187/1000*'Книга допущений'!$B$19^Расходы!O$10</f>
        <v>52</v>
      </c>
      <c r="P23" s="128">
        <f>'Книга допущений'!$B187/1000*'Книга допущений'!$B$19^Расходы!P$10</f>
        <v>52</v>
      </c>
      <c r="Q23" s="128">
        <f>'Книга допущений'!$B187/1000*'Книга допущений'!$B$19^Расходы!Q$10</f>
        <v>54.080000000000005</v>
      </c>
      <c r="R23" s="128">
        <f>'Книга допущений'!$B187/1000*'Книга допущений'!$B$19^Расходы!R$10</f>
        <v>54.080000000000005</v>
      </c>
      <c r="S23" s="128">
        <f>'Книга допущений'!$B187/1000*'Книга допущений'!$B$19^Расходы!S$10</f>
        <v>54.080000000000005</v>
      </c>
      <c r="T23" s="128">
        <f>'Книга допущений'!$B187/1000*'Книга допущений'!$B$19^Расходы!T$10</f>
        <v>54.080000000000005</v>
      </c>
      <c r="U23" s="128">
        <f>'Книга допущений'!$B187/1000*'Книга допущений'!$B$19^Расходы!U$10</f>
        <v>54.080000000000005</v>
      </c>
      <c r="V23" s="128">
        <f>'Книга допущений'!$B187/1000*'Книга допущений'!$B$19^Расходы!V$10</f>
        <v>54.080000000000005</v>
      </c>
      <c r="W23" s="128">
        <f>'Книга допущений'!$B187/1000*'Книга допущений'!$B$19^Расходы!W$10</f>
        <v>54.080000000000005</v>
      </c>
      <c r="X23" s="128">
        <f>'Книга допущений'!$B187/1000*'Книга допущений'!$B$19^Расходы!X$10</f>
        <v>54.080000000000005</v>
      </c>
      <c r="Y23" s="128">
        <f>'Книга допущений'!$B187/1000*'Книга допущений'!$B$19^Расходы!Y$10</f>
        <v>54.080000000000005</v>
      </c>
      <c r="Z23" s="128">
        <f>'Книга допущений'!$B187/1000*'Книга допущений'!$B$19^Расходы!Z$10</f>
        <v>54.080000000000005</v>
      </c>
      <c r="AA23" s="128">
        <f>'Книга допущений'!$B187/1000*'Книга допущений'!$B$19^Расходы!AA$10</f>
        <v>54.080000000000005</v>
      </c>
      <c r="AB23" s="128">
        <f>'Книга допущений'!$B187/1000*'Книга допущений'!$B$19^Расходы!AB$10</f>
        <v>54.080000000000005</v>
      </c>
      <c r="AC23" s="128">
        <f>'Книга допущений'!$B187/1000*'Книга допущений'!$B$19^Расходы!AC$10</f>
        <v>56.243200000000002</v>
      </c>
      <c r="AD23" s="128">
        <f>'Книга допущений'!$B187/1000*'Книга допущений'!$B$19^Расходы!AD$10</f>
        <v>56.243200000000002</v>
      </c>
      <c r="AE23" s="128">
        <f>'Книга допущений'!$B187/1000*'Книга допущений'!$B$19^Расходы!AE$10</f>
        <v>56.243200000000002</v>
      </c>
      <c r="AF23" s="128">
        <f>'Книга допущений'!$B187/1000*'Книга допущений'!$B$19^Расходы!AF$10</f>
        <v>56.243200000000002</v>
      </c>
      <c r="AG23" s="128">
        <f>'Книга допущений'!$B187/1000*'Книга допущений'!$B$19^Расходы!AG$10</f>
        <v>56.243200000000002</v>
      </c>
      <c r="AH23" s="128">
        <f>'Книга допущений'!$B187/1000*'Книга допущений'!$B$19^Расходы!AH$10</f>
        <v>56.243200000000002</v>
      </c>
      <c r="AI23" s="128">
        <f>'Книга допущений'!$B187/1000*'Книга допущений'!$B$19^Расходы!AI$10</f>
        <v>56.243200000000002</v>
      </c>
      <c r="AJ23" s="128">
        <f>'Книга допущений'!$B187/1000*'Книга допущений'!$B$19^Расходы!AJ$10</f>
        <v>56.243200000000002</v>
      </c>
      <c r="AK23" s="128">
        <f>'Книга допущений'!$B187/1000*'Книга допущений'!$B$19^Расходы!AK$10</f>
        <v>56.243200000000002</v>
      </c>
      <c r="AL23" s="128">
        <f>'Книга допущений'!$B187/1000*'Книга допущений'!$B$19^Расходы!AL$10</f>
        <v>56.243200000000002</v>
      </c>
      <c r="AM23" s="128">
        <f>'Книга допущений'!$B187/1000*'Книга допущений'!$B$19^Расходы!AM$10</f>
        <v>56.243200000000002</v>
      </c>
      <c r="AN23" s="128">
        <f>'Книга допущений'!$B187/1000*'Книга допущений'!$B$19^Расходы!AN$10</f>
        <v>56.243200000000002</v>
      </c>
      <c r="AO23" s="128">
        <f>'Книга допущений'!$B187/1000*'Книга допущений'!$B$19^Расходы!AO$10</f>
        <v>58.492928000000013</v>
      </c>
      <c r="AP23" s="128">
        <f>'Книга допущений'!$B187/1000*'Книга допущений'!$B$19^Расходы!AP$10</f>
        <v>58.492928000000013</v>
      </c>
      <c r="AQ23" s="128">
        <f>'Книга допущений'!$B187/1000*'Книга допущений'!$B$19^Расходы!AQ$10</f>
        <v>58.492928000000013</v>
      </c>
      <c r="AR23" s="128">
        <f>'Книга допущений'!$B187/1000*'Книга допущений'!$B$19^Расходы!AR$10</f>
        <v>58.492928000000013</v>
      </c>
      <c r="AS23" s="128">
        <f>'Книга допущений'!$B187/1000*'Книга допущений'!$B$19^Расходы!AS$10</f>
        <v>58.492928000000013</v>
      </c>
      <c r="AT23" s="128">
        <f>'Книга допущений'!$B187/1000*'Книга допущений'!$B$19^Расходы!AT$10</f>
        <v>58.492928000000013</v>
      </c>
      <c r="AU23" s="128">
        <f>'Книга допущений'!$B187/1000*'Книга допущений'!$B$19^Расходы!AU$10</f>
        <v>58.492928000000013</v>
      </c>
      <c r="AV23" s="128">
        <f>'Книга допущений'!$B187/1000*'Книга допущений'!$B$19^Расходы!AV$10</f>
        <v>58.492928000000013</v>
      </c>
      <c r="AW23" s="128">
        <f>'Книга допущений'!$B187/1000*'Книга допущений'!$B$19^Расходы!AW$10</f>
        <v>58.492928000000013</v>
      </c>
      <c r="AX23" s="128">
        <f>'Книга допущений'!$B187/1000*'Книга допущений'!$B$19^Расходы!AX$10</f>
        <v>58.492928000000013</v>
      </c>
      <c r="AY23" s="128">
        <f>'Книга допущений'!$B187/1000*'Книга допущений'!$B$19^Расходы!AY$10</f>
        <v>58.492928000000013</v>
      </c>
      <c r="AZ23" s="128">
        <f>'Книга допущений'!$B187/1000*'Книга допущений'!$B$19^Расходы!AZ$10</f>
        <v>58.492928000000013</v>
      </c>
      <c r="BA23" s="128">
        <f>'Книга допущений'!$B187/1000*'Книга допущений'!$B$19^Расходы!BA$10</f>
        <v>60.832645120000016</v>
      </c>
      <c r="BB23" s="128">
        <f>'Книга допущений'!$B187/1000*'Книга допущений'!$B$19^Расходы!BB$10</f>
        <v>60.832645120000016</v>
      </c>
      <c r="BC23" s="128">
        <f>'Книга допущений'!$B187/1000*'Книга допущений'!$B$19^Расходы!BC$10</f>
        <v>60.832645120000016</v>
      </c>
      <c r="BD23" s="128">
        <f>'Книга допущений'!$B187/1000*'Книга допущений'!$B$19^Расходы!BD$10</f>
        <v>60.832645120000016</v>
      </c>
      <c r="BE23" s="128">
        <f>'Книга допущений'!$B187/1000*'Книга допущений'!$B$19^Расходы!BE$10</f>
        <v>60.832645120000016</v>
      </c>
      <c r="BF23" s="128">
        <f>'Книга допущений'!$B187/1000*'Книга допущений'!$B$19^Расходы!BF$10</f>
        <v>60.832645120000016</v>
      </c>
      <c r="BG23" s="128">
        <f>'Книга допущений'!$B187/1000*'Книга допущений'!$B$19^Расходы!BG$10</f>
        <v>60.832645120000016</v>
      </c>
      <c r="BH23" s="128">
        <f>'Книга допущений'!$B187/1000*'Книга допущений'!$B$19^Расходы!BH$10</f>
        <v>60.832645120000016</v>
      </c>
      <c r="BI23" s="128">
        <f>'Книга допущений'!$B187/1000*'Книга допущений'!$B$19^Расходы!BI$10</f>
        <v>60.832645120000016</v>
      </c>
      <c r="BJ23" s="128">
        <f>'Книга допущений'!$B187/1000*'Книга допущений'!$B$19^Расходы!BJ$10</f>
        <v>60.832645120000016</v>
      </c>
      <c r="BK23" s="128">
        <f>'Книга допущений'!$B187/1000*'Книга допущений'!$B$19^Расходы!BK$10</f>
        <v>60.832645120000016</v>
      </c>
      <c r="BL23" s="128">
        <f>'Книга допущений'!$B187/1000*'Книга допущений'!$B$19^Расходы!BL$10</f>
        <v>60.832645120000016</v>
      </c>
      <c r="BM23" s="128">
        <f>'Книга допущений'!$B187/1000*'Книга допущений'!$B$19^Расходы!BM$10</f>
        <v>63.265950924800016</v>
      </c>
      <c r="BN23" s="128">
        <f>'Книга допущений'!$B187/1000*'Книга допущений'!$B$19^Расходы!BN$10</f>
        <v>63.265950924800016</v>
      </c>
      <c r="BO23" s="128">
        <f>'Книга допущений'!$B187/1000*'Книга допущений'!$B$19^Расходы!BO$10</f>
        <v>63.265950924800016</v>
      </c>
      <c r="BP23" s="128">
        <f>'Книга допущений'!$B187/1000*'Книга допущений'!$B$19^Расходы!BP$10</f>
        <v>63.265950924800016</v>
      </c>
      <c r="BQ23" s="128">
        <f>'Книга допущений'!$B187/1000*'Книга допущений'!$B$19^Расходы!BQ$10</f>
        <v>63.265950924800016</v>
      </c>
      <c r="BR23" s="128">
        <f>'Книга допущений'!$B187/1000*'Книга допущений'!$B$19^Расходы!BR$10</f>
        <v>63.265950924800016</v>
      </c>
      <c r="BS23" s="128">
        <f>'Книга допущений'!$B187/1000*'Книга допущений'!$B$19^Расходы!BS$10</f>
        <v>63.265950924800016</v>
      </c>
      <c r="BT23" s="128">
        <f>'Книга допущений'!$B187/1000*'Книга допущений'!$B$19^Расходы!BT$10</f>
        <v>63.265950924800016</v>
      </c>
      <c r="BU23" s="128">
        <f>'Книга допущений'!$B187/1000*'Книга допущений'!$B$19^Расходы!BU$10</f>
        <v>63.265950924800016</v>
      </c>
      <c r="BV23" s="128">
        <f>'Книга допущений'!$B187/1000*'Книга допущений'!$B$19^Расходы!BV$10</f>
        <v>63.265950924800016</v>
      </c>
      <c r="BW23" s="128">
        <f>'Книга допущений'!$B187/1000*'Книга допущений'!$B$19^Расходы!BW$10</f>
        <v>63.265950924800016</v>
      </c>
      <c r="BX23" s="128">
        <f>'Книга допущений'!$B187/1000*'Книга допущений'!$B$19^Расходы!BX$10</f>
        <v>63.265950924800016</v>
      </c>
    </row>
    <row r="24" spans="1:76" s="43" customFormat="1" x14ac:dyDescent="0.25">
      <c r="A24" s="131" t="s">
        <v>168</v>
      </c>
      <c r="B24" s="111">
        <f t="shared" ref="B24:AG24" si="3">SUM(B25:B34)</f>
        <v>0</v>
      </c>
      <c r="C24" s="111">
        <f t="shared" si="3"/>
        <v>0</v>
      </c>
      <c r="D24" s="111">
        <f t="shared" si="3"/>
        <v>0</v>
      </c>
      <c r="E24" s="111">
        <f t="shared" si="3"/>
        <v>0</v>
      </c>
      <c r="F24" s="111">
        <f t="shared" si="3"/>
        <v>0</v>
      </c>
      <c r="G24" s="111">
        <f t="shared" si="3"/>
        <v>0</v>
      </c>
      <c r="H24" s="111">
        <f t="shared" si="3"/>
        <v>0</v>
      </c>
      <c r="I24" s="111">
        <f t="shared" si="3"/>
        <v>0</v>
      </c>
      <c r="J24" s="111">
        <f t="shared" si="3"/>
        <v>0</v>
      </c>
      <c r="K24" s="111">
        <f t="shared" si="3"/>
        <v>980.72258001535977</v>
      </c>
      <c r="L24" s="111">
        <f t="shared" si="3"/>
        <v>1001.7380638728322</v>
      </c>
      <c r="M24" s="111">
        <f t="shared" si="3"/>
        <v>813.50260093440022</v>
      </c>
      <c r="N24" s="111">
        <f t="shared" si="3"/>
        <v>865.1374187992642</v>
      </c>
      <c r="O24" s="111">
        <f t="shared" si="3"/>
        <v>664.36045742976012</v>
      </c>
      <c r="P24" s="111">
        <f t="shared" si="3"/>
        <v>1523.6225796667206</v>
      </c>
      <c r="Q24" s="111">
        <f t="shared" si="3"/>
        <v>932.52707036889126</v>
      </c>
      <c r="R24" s="111">
        <f t="shared" si="3"/>
        <v>783.05952582387738</v>
      </c>
      <c r="S24" s="111">
        <f t="shared" si="3"/>
        <v>1049.0929541650028</v>
      </c>
      <c r="T24" s="111">
        <f t="shared" si="3"/>
        <v>937.69733134371859</v>
      </c>
      <c r="U24" s="111">
        <f t="shared" si="3"/>
        <v>1457.0735474513929</v>
      </c>
      <c r="V24" s="111">
        <f t="shared" si="3"/>
        <v>1692.0854099435519</v>
      </c>
      <c r="W24" s="111">
        <f t="shared" si="3"/>
        <v>2039.9029664319485</v>
      </c>
      <c r="X24" s="111">
        <f t="shared" si="3"/>
        <v>1894.19561168681</v>
      </c>
      <c r="Y24" s="111">
        <f t="shared" si="3"/>
        <v>1410.0711749529601</v>
      </c>
      <c r="Z24" s="111">
        <f t="shared" si="3"/>
        <v>1384.2198700788224</v>
      </c>
      <c r="AA24" s="111">
        <f t="shared" si="3"/>
        <v>987.04982246707186</v>
      </c>
      <c r="AB24" s="111">
        <f t="shared" si="3"/>
        <v>2112.7566438045187</v>
      </c>
      <c r="AC24" s="111">
        <f t="shared" si="3"/>
        <v>1212.2851914795585</v>
      </c>
      <c r="AD24" s="111">
        <f t="shared" si="3"/>
        <v>958.09636100803777</v>
      </c>
      <c r="AE24" s="111">
        <f t="shared" si="3"/>
        <v>1212.2851914795585</v>
      </c>
      <c r="AF24" s="111">
        <f t="shared" si="3"/>
        <v>1026.5318153657547</v>
      </c>
      <c r="AG24" s="111">
        <f t="shared" si="3"/>
        <v>1515.3564893494477</v>
      </c>
      <c r="AH24" s="111">
        <f t="shared" ref="AH24:BM24" si="4">SUM(AH25:AH34)</f>
        <v>1759.7688263412938</v>
      </c>
      <c r="AI24" s="111">
        <f t="shared" si="4"/>
        <v>2121.4990850892273</v>
      </c>
      <c r="AJ24" s="111">
        <f t="shared" si="4"/>
        <v>1969.9634361542821</v>
      </c>
      <c r="AK24" s="111">
        <f t="shared" si="4"/>
        <v>1466.4740219510784</v>
      </c>
      <c r="AL24" s="111">
        <f t="shared" si="4"/>
        <v>1439.5886648819751</v>
      </c>
      <c r="AM24" s="111">
        <f t="shared" si="4"/>
        <v>1026.5318153657547</v>
      </c>
      <c r="AN24" s="111">
        <f t="shared" si="4"/>
        <v>2197.2669095566994</v>
      </c>
      <c r="AO24" s="111">
        <f t="shared" si="4"/>
        <v>1260.7765991387407</v>
      </c>
      <c r="AP24" s="111">
        <f t="shared" si="4"/>
        <v>996.4202154483595</v>
      </c>
      <c r="AQ24" s="111">
        <f t="shared" si="4"/>
        <v>1260.7765991387407</v>
      </c>
      <c r="AR24" s="111">
        <f t="shared" si="4"/>
        <v>1067.593087980385</v>
      </c>
      <c r="AS24" s="111">
        <f t="shared" si="4"/>
        <v>1575.9707489234258</v>
      </c>
      <c r="AT24" s="111">
        <f t="shared" si="4"/>
        <v>1830.1595793949461</v>
      </c>
      <c r="AU24" s="111">
        <f t="shared" si="4"/>
        <v>2206.3590484927959</v>
      </c>
      <c r="AV24" s="111">
        <f t="shared" si="4"/>
        <v>2048.761973600454</v>
      </c>
      <c r="AW24" s="111">
        <f t="shared" si="4"/>
        <v>1525.1329828291216</v>
      </c>
      <c r="AX24" s="111">
        <f t="shared" si="4"/>
        <v>1497.1722114772547</v>
      </c>
      <c r="AY24" s="111">
        <f t="shared" si="4"/>
        <v>1067.593087980385</v>
      </c>
      <c r="AZ24" s="111">
        <f t="shared" si="4"/>
        <v>2285.1575859389682</v>
      </c>
      <c r="BA24" s="111">
        <f t="shared" si="4"/>
        <v>1311.2076631042905</v>
      </c>
      <c r="BB24" s="111">
        <f t="shared" si="4"/>
        <v>1036.2770240662937</v>
      </c>
      <c r="BC24" s="111">
        <f t="shared" si="4"/>
        <v>1311.2076631042905</v>
      </c>
      <c r="BD24" s="111">
        <f t="shared" si="4"/>
        <v>1110.2968114996008</v>
      </c>
      <c r="BE24" s="111">
        <f t="shared" si="4"/>
        <v>1639.0095788803628</v>
      </c>
      <c r="BF24" s="111">
        <f t="shared" si="4"/>
        <v>1903.3659625707442</v>
      </c>
      <c r="BG24" s="111">
        <f t="shared" si="4"/>
        <v>2294.6134104325079</v>
      </c>
      <c r="BH24" s="111">
        <f t="shared" si="4"/>
        <v>2130.7124525444724</v>
      </c>
      <c r="BI24" s="111">
        <f t="shared" si="4"/>
        <v>1586.1383021422866</v>
      </c>
      <c r="BJ24" s="111">
        <f t="shared" si="4"/>
        <v>1557.0590999363446</v>
      </c>
      <c r="BK24" s="111">
        <f t="shared" si="4"/>
        <v>1110.2968114996008</v>
      </c>
      <c r="BL24" s="111">
        <f t="shared" si="4"/>
        <v>2376.5638893765263</v>
      </c>
      <c r="BM24" s="111">
        <f t="shared" si="4"/>
        <v>1363.6559696284621</v>
      </c>
      <c r="BN24" s="111">
        <f t="shared" ref="BN24:BX24" si="5">SUM(BN25:BN34)</f>
        <v>1077.7281050289457</v>
      </c>
      <c r="BO24" s="111">
        <f t="shared" si="5"/>
        <v>1363.6559696284621</v>
      </c>
      <c r="BP24" s="111">
        <f t="shared" si="5"/>
        <v>1154.7086839595847</v>
      </c>
      <c r="BQ24" s="111">
        <f t="shared" si="5"/>
        <v>1704.5699620355776</v>
      </c>
      <c r="BR24" s="111">
        <f t="shared" si="5"/>
        <v>1979.5006010735738</v>
      </c>
      <c r="BS24" s="111">
        <f t="shared" si="5"/>
        <v>2386.3979468498082</v>
      </c>
      <c r="BT24" s="111">
        <f t="shared" si="5"/>
        <v>2215.9409506462512</v>
      </c>
      <c r="BU24" s="111">
        <f t="shared" si="5"/>
        <v>1649.5838342279781</v>
      </c>
      <c r="BV24" s="111">
        <f t="shared" si="5"/>
        <v>1619.3414639337987</v>
      </c>
      <c r="BW24" s="111">
        <f t="shared" si="5"/>
        <v>1154.7086839595847</v>
      </c>
      <c r="BX24" s="111">
        <f t="shared" si="5"/>
        <v>2471.6264449515875</v>
      </c>
    </row>
    <row r="25" spans="1:76" s="43" customFormat="1" x14ac:dyDescent="0.25">
      <c r="A25" s="157" t="str">
        <f>'Книга допущений'!A195</f>
        <v>Электроэнергия</v>
      </c>
      <c r="B25" s="114">
        <f>('Книга допущений'!$C195*'Книга допущений'!$D195*'План продаж'!C$14+'Книга допущений'!$C203*'Книга допущений'!$D203*'План продаж'!C$15+'Книга допущений'!$C208*'Книга допущений'!$D208*'План продаж'!C$16)*'Книга допущений'!$B$19^Расходы!B$10/1000*(1+Риски!$B$14)</f>
        <v>0</v>
      </c>
      <c r="C25" s="114">
        <f>('Книга допущений'!$C195*'Книга допущений'!$D195*'План продаж'!D$14+'Книга допущений'!$C203*'Книга допущений'!$D203*'План продаж'!D$15+'Книга допущений'!$C208*'Книга допущений'!$D208*'План продаж'!D$16)*'Книга допущений'!$B$19^Расходы!C$10/1000*(1+Риски!$B$14)</f>
        <v>0</v>
      </c>
      <c r="D25" s="114">
        <f>('Книга допущений'!$C195*'Книга допущений'!$D195*'План продаж'!E$14+'Книга допущений'!$C203*'Книга допущений'!$D203*'План продаж'!E$15+'Книга допущений'!$C208*'Книга допущений'!$D208*'План продаж'!E$16)*'Книга допущений'!$B$19^Расходы!D$10/1000*(1+Риски!$B$14)</f>
        <v>0</v>
      </c>
      <c r="E25" s="114">
        <f>('Книга допущений'!$C195*'Книга допущений'!$D195*'План продаж'!F$14+'Книга допущений'!$C203*'Книга допущений'!$D203*'План продаж'!F$15+'Книга допущений'!$C208*'Книга допущений'!$D208*'План продаж'!F$16)*'Книга допущений'!$B$19^Расходы!E$10/1000*(1+Риски!$B$14)</f>
        <v>0</v>
      </c>
      <c r="F25" s="114">
        <f>('Книга допущений'!$C195*'Книга допущений'!$D195*'План продаж'!G$14+'Книга допущений'!$C203*'Книга допущений'!$D203*'План продаж'!G$15+'Книга допущений'!$C208*'Книга допущений'!$D208*'План продаж'!G$16)*'Книга допущений'!$B$19^Расходы!F$10/1000*(1+Риски!$B$14)</f>
        <v>0</v>
      </c>
      <c r="G25" s="114">
        <f>('Книга допущений'!$C195*'Книга допущений'!$D195*'План продаж'!H$14+'Книга допущений'!$C203*'Книга допущений'!$D203*'План продаж'!H$15+'Книга допущений'!$C208*'Книга допущений'!$D208*'План продаж'!H$16)*'Книга допущений'!$B$19^Расходы!G$10/1000*(1+Риски!$B$14)</f>
        <v>0</v>
      </c>
      <c r="H25" s="114">
        <f>('Книга допущений'!$C195*'Книга допущений'!$D195*'План продаж'!I$14+'Книга допущений'!$C203*'Книга допущений'!$D203*'План продаж'!I$15+'Книга допущений'!$C208*'Книга допущений'!$D208*'План продаж'!I$16)*'Книга допущений'!$B$19^Расходы!H$10/1000*(1+Риски!$B$14)</f>
        <v>0</v>
      </c>
      <c r="I25" s="114">
        <f>('Книга допущений'!$C195*'Книга допущений'!$D195*'План продаж'!J$14+'Книга допущений'!$C203*'Книга допущений'!$D203*'План продаж'!J$15+'Книга допущений'!$C208*'Книга допущений'!$D208*'План продаж'!J$16)*'Книга допущений'!$B$19^Расходы!I$10/1000*(1+Риски!$B$14)</f>
        <v>0</v>
      </c>
      <c r="J25" s="114">
        <f>('Книга допущений'!$C195*'Книга допущений'!$D195*'План продаж'!K$14+'Книга допущений'!$C203*'Книга допущений'!$D203*'План продаж'!K$15+'Книга допущений'!$C208*'Книга допущений'!$D208*'План продаж'!K$16)*'Книга допущений'!$B$19^Расходы!J$10/1000*(1+Риски!$B$14)</f>
        <v>0</v>
      </c>
      <c r="K25" s="114">
        <f>('Книга допущений'!$C195*'Книга допущений'!$D195*'План продаж'!L$14+'Книга допущений'!$C203*'Книга допущений'!$D203*'План продаж'!L$15+'Книга допущений'!$C208*'Книга допущений'!$D208*'План продаж'!L$16)*'Книга допущений'!$B$19^Расходы!K$10/1000*(1+Риски!$B$14)</f>
        <v>125.98143667199999</v>
      </c>
      <c r="L25" s="114">
        <f>('Книга допущений'!$C195*'Книга допущений'!$D195*'План продаж'!M$14+'Книга допущений'!$C203*'Книга допущений'!$D203*'План продаж'!M$15+'Книга допущений'!$C208*'Книга допущений'!$D208*'План продаж'!M$16)*'Книга допущений'!$B$19^Расходы!L$10/1000*(1+Риски!$B$14)</f>
        <v>128.68103888640002</v>
      </c>
      <c r="M25" s="114">
        <f>('Книга допущений'!$C195*'Книга допущений'!$D195*'План продаж'!N$14+'Книга допущений'!$C203*'Книга допущений'!$D203*'План продаж'!N$15+'Книга допущений'!$C208*'Книга допущений'!$D208*'План продаж'!N$16)*'Книга допущений'!$B$19^Расходы!M$10/1000*(1+Риски!$B$14)</f>
        <v>104.50073088000002</v>
      </c>
      <c r="N25" s="114">
        <f>('Книга допущений'!$C195*'Книга допущений'!$D195*'План продаж'!O$14+'Книга допущений'!$C203*'Книга допущений'!$D203*'План продаж'!O$15+'Книга допущений'!$C208*'Книга допущений'!$D208*'План продаж'!O$16)*'Книга допущений'!$B$19^Расходы!N$10/1000*(1+Риски!$B$14)</f>
        <v>111.1336244928</v>
      </c>
      <c r="O25" s="114">
        <f>('Книга допущений'!$C195*'Книга допущений'!$D195*'План продаж'!P$14+'Книга допущений'!$C203*'Книга допущений'!$D203*'План продаж'!P$15+'Книга допущений'!$C208*'Книга допущений'!$D208*'План продаж'!P$16)*'Книга допущений'!$B$19^Расходы!O$10/1000*(1+Риски!$B$14)</f>
        <v>85.342263552000006</v>
      </c>
      <c r="P25" s="114">
        <f>('Книга допущений'!$C195*'Книга допущений'!$D195*'План продаж'!Q$14+'Книга допущений'!$C203*'Книга допущений'!$D203*'План продаж'!Q$15+'Книга допущений'!$C208*'Книга допущений'!$D208*'План продаж'!Q$16)*'Книга допущений'!$B$19^Расходы!P$10/1000*(1+Риски!$B$14)</f>
        <v>195.72116054400007</v>
      </c>
      <c r="Q25" s="114">
        <f>('Книга допущений'!$C195*'Книга допущений'!$D195*'План продаж'!R$14+'Книга допущений'!$C203*'Книга допущений'!$D203*'План продаж'!R$15+'Книга допущений'!$C208*'Книга допущений'!$D208*'План продаж'!R$16)*'Книга допущений'!$B$19^Расходы!Q$10/1000*(1+Риски!$B$14)</f>
        <v>119.79034892697607</v>
      </c>
      <c r="R25" s="114">
        <f>('Книга допущений'!$C195*'Книга допущений'!$D195*'План продаж'!S$14+'Книга допущений'!$C203*'Книга допущений'!$D203*'План продаж'!S$15+'Книга допущений'!$C208*'Книга допущений'!$D208*'План продаж'!S$16)*'Книга допущений'!$B$19^Расходы!R$10/1000*(1+Риски!$B$14)</f>
        <v>100.59008130662403</v>
      </c>
      <c r="S25" s="114">
        <f>('Книга допущений'!$C195*'Книга допущений'!$D195*'План продаж'!T$14+'Книга допущений'!$C203*'Книга допущений'!$D203*'План продаж'!T$15+'Книга допущений'!$C208*'Книга допущений'!$D208*'План продаж'!T$16)*'Книга допущений'!$B$19^Расходы!S$10/1000*(1+Риски!$B$14)</f>
        <v>134.76414254284808</v>
      </c>
      <c r="T25" s="114">
        <f>('Книга допущений'!$C195*'Книга допущений'!$D195*'План продаж'!U$14+'Книга допущений'!$C203*'Книга допущений'!$D203*'План продаж'!U$15+'Книга допущений'!$C208*'Книга допущений'!$D208*'План продаж'!U$16)*'Книга допущений'!$B$19^Расходы!T$10/1000*(1+Риски!$B$14)</f>
        <v>120.45450912768004</v>
      </c>
      <c r="U25" s="114">
        <f>('Книга допущений'!$C195*'Книга допущений'!$D195*'План продаж'!V$14+'Книга допущений'!$C203*'Книга допущений'!$D203*'План продаж'!V$15+'Книга допущений'!$C208*'Книга допущений'!$D208*'План продаж'!V$16)*'Книга допущений'!$B$19^Расходы!U$10/1000*(1+Риски!$B$14)</f>
        <v>187.17242019840006</v>
      </c>
      <c r="V25" s="114">
        <f>('Книга допущений'!$C195*'Книга допущений'!$D195*'План продаж'!W$14+'Книга допущений'!$C203*'Книга допущений'!$D203*'План продаж'!W$15+'Книга допущений'!$C208*'Книга допущений'!$D208*'План продаж'!W$16)*'Книга допущений'!$B$19^Расходы!V$10/1000*(1+Риски!$B$14)</f>
        <v>217.36152023039998</v>
      </c>
      <c r="W25" s="114">
        <f>('Книга допущений'!$C195*'Книга допущений'!$D195*'План продаж'!X$14+'Книга допущений'!$C203*'Книга допущений'!$D203*'План продаж'!X$15+'Книга допущений'!$C208*'Книга допущений'!$D208*'План продаж'!X$16)*'Книга допущений'!$B$19^Расходы!W$10/1000*(1+Риски!$B$14)</f>
        <v>262.04138827776001</v>
      </c>
      <c r="X25" s="114">
        <f>('Книга допущений'!$C195*'Книга допущений'!$D195*'План продаж'!Y$14+'Книга допущений'!$C203*'Книга допущений'!$D203*'План продаж'!Y$15+'Книга допущений'!$C208*'Книга допущений'!$D208*'План продаж'!Y$16)*'Книга допущений'!$B$19^Расходы!X$10/1000*(1+Риски!$B$14)</f>
        <v>243.32414625792003</v>
      </c>
      <c r="Y25" s="114">
        <f>('Книга допущений'!$C195*'Книга допущений'!$D195*'План продаж'!Z$14+'Книга допущений'!$C203*'Книга допущений'!$D203*'План продаж'!Z$15+'Книга допущений'!$C208*'Книга допущений'!$D208*'План продаж'!Z$16)*'Книга допущений'!$B$19^Расходы!Y$10/1000*(1+Риски!$B$14)</f>
        <v>181.13460019199999</v>
      </c>
      <c r="Z25" s="114">
        <f>('Книга допущений'!$C195*'Книга допущений'!$D195*'План продаж'!AA$14+'Книга допущений'!$C203*'Книга допущений'!$D203*'План продаж'!AA$15+'Книга допущений'!$C208*'Книга допущений'!$D208*'План продаж'!AA$16)*'Книга допущений'!$B$19^Расходы!Z$10/1000*(1+Риски!$B$14)</f>
        <v>177.81379918847998</v>
      </c>
      <c r="AA25" s="114">
        <f>('Книга допущений'!$C195*'Книга допущений'!$D195*'План продаж'!AB$14+'Книга допущений'!$C203*'Книга допущений'!$D203*'План продаж'!AB$15+'Книга допущений'!$C208*'Книга допущений'!$D208*'План продаж'!AB$16)*'Книга допущений'!$B$19^Расходы!AA$10/1000*(1+Риски!$B$14)</f>
        <v>126.79422013439999</v>
      </c>
      <c r="AB25" s="114">
        <f>('Книга допущений'!$C195*'Книга допущений'!$D195*'План продаж'!AC$14+'Книга допущений'!$C203*'Книга допущений'!$D203*'План продаж'!AC$15+'Книга допущений'!$C208*'Книга допущений'!$D208*'План продаж'!AC$16)*'Книга допущений'!$B$19^Расходы!AB$10/1000*(1+Риски!$B$14)</f>
        <v>271.40000928768001</v>
      </c>
      <c r="AC25" s="114">
        <f>('Книга допущений'!$C195*'Книга допущений'!$D195*'План продаж'!AD$14+'Книга допущений'!$C203*'Книга допущений'!$D203*'План продаж'!AD$15+'Книга допущений'!$C208*'Книга допущений'!$D208*'План продаж'!AD$16)*'Книга допущений'!$B$19^Расходы!AC$10/1000*(1+Риски!$B$14)</f>
        <v>155.72745360506883</v>
      </c>
      <c r="AD25" s="114">
        <f>('Книга допущений'!$C195*'Книга допущений'!$D195*'План продаж'!AE$14+'Книга допущений'!$C203*'Книга допущений'!$D203*'План продаж'!AE$15+'Книга допущений'!$C208*'Книга допущений'!$D208*'План продаж'!AE$16)*'Книга допущений'!$B$19^Расходы!AD$10/1000*(1+Риски!$B$14)</f>
        <v>123.0749230104576</v>
      </c>
      <c r="AE25" s="114">
        <f>('Книга допущений'!$C195*'Книга допущений'!$D195*'План продаж'!AF$14+'Книга допущений'!$C203*'Книга допущений'!$D203*'План продаж'!AF$15+'Книга допущений'!$C208*'Книга допущений'!$D208*'План продаж'!AF$16)*'Книга допущений'!$B$19^Расходы!AE$10/1000*(1+Риски!$B$14)</f>
        <v>155.72745360506883</v>
      </c>
      <c r="AF25" s="114">
        <f>('Книга допущений'!$C195*'Книга допущений'!$D195*'План продаж'!AG$14+'Книга допущений'!$C203*'Книга допущений'!$D203*'План продаж'!AG$15+'Книга допущений'!$C208*'Книга допущений'!$D208*'План продаж'!AG$16)*'Книга допущений'!$B$19^Расходы!AF$10/1000*(1+Риски!$B$14)</f>
        <v>131.865988939776</v>
      </c>
      <c r="AG25" s="114">
        <f>('Книга допущений'!$C195*'Книга допущений'!$D195*'План продаж'!AH$14+'Книга допущений'!$C203*'Книга допущений'!$D203*'План продаж'!AH$15+'Книга допущений'!$C208*'Книга допущений'!$D208*'План продаж'!AH$16)*'Книга допущений'!$B$19^Расходы!AG$10/1000*(1+Риски!$B$14)</f>
        <v>194.65931700633598</v>
      </c>
      <c r="AH25" s="114">
        <f>('Книга допущений'!$C195*'Книга допущений'!$D195*'План продаж'!AI$14+'Книга допущений'!$C203*'Книга допущений'!$D203*'План продаж'!AI$15+'Книга допущений'!$C208*'Книга допущений'!$D208*'План продаж'!AI$16)*'Книга допущений'!$B$19^Расходы!AH$10/1000*(1+Риски!$B$14)</f>
        <v>226.05598103961597</v>
      </c>
      <c r="AI25" s="114">
        <f>('Книга допущений'!$C195*'Книга допущений'!$D195*'План продаж'!AJ$14+'Книга допущений'!$C203*'Книга допущений'!$D203*'План продаж'!AJ$15+'Книга допущений'!$C208*'Книга допущений'!$D208*'План продаж'!AJ$16)*'Книга допущений'!$B$19^Расходы!AI$10/1000*(1+Риски!$B$14)</f>
        <v>272.52304380887034</v>
      </c>
      <c r="AJ25" s="114">
        <f>('Книга допущений'!$C195*'Книга допущений'!$D195*'План продаж'!AK$14+'Книга допущений'!$C203*'Книга допущений'!$D203*'План продаж'!AK$15+'Книга допущений'!$C208*'Книга допущений'!$D208*'План продаж'!AK$16)*'Книга допущений'!$B$19^Расходы!AJ$10/1000*(1+Риски!$B$14)</f>
        <v>253.05711210823682</v>
      </c>
      <c r="AK25" s="114">
        <f>('Книга допущений'!$C195*'Книга допущений'!$D195*'План продаж'!AL$14+'Книга допущений'!$C203*'Книга допущений'!$D203*'План продаж'!AL$15+'Книга допущений'!$C208*'Книга допущений'!$D208*'План продаж'!AL$16)*'Книга допущений'!$B$19^Расходы!AK$10/1000*(1+Риски!$B$14)</f>
        <v>188.37998419967997</v>
      </c>
      <c r="AL25" s="114">
        <f>('Книга допущений'!$C195*'Книга допущений'!$D195*'План продаж'!AM$14+'Книга допущений'!$C203*'Книга допущений'!$D203*'План продаж'!AM$15+'Книга допущений'!$C208*'Книга допущений'!$D208*'План продаж'!AM$16)*'Книга допущений'!$B$19^Расходы!AL$10/1000*(1+Риски!$B$14)</f>
        <v>184.92635115601917</v>
      </c>
      <c r="AM25" s="114">
        <f>('Книга допущений'!$C195*'Книга допущений'!$D195*'План продаж'!AN$14+'Книга допущений'!$C203*'Книга допущений'!$D203*'План продаж'!AN$15+'Книга допущений'!$C208*'Книга допущений'!$D208*'План продаж'!AN$16)*'Книга допущений'!$B$19^Расходы!AM$10/1000*(1+Риски!$B$14)</f>
        <v>131.865988939776</v>
      </c>
      <c r="AN25" s="114">
        <f>('Книга допущений'!$C195*'Книга допущений'!$D195*'План продаж'!AO$14+'Книга допущений'!$C203*'Книга допущений'!$D203*'План продаж'!AO$15+'Книга допущений'!$C208*'Книга допущений'!$D208*'План продаж'!AO$16)*'Книга допущений'!$B$19^Расходы!AN$10/1000*(1+Риски!$B$14)</f>
        <v>282.25600965918721</v>
      </c>
      <c r="AO25" s="114">
        <f>('Книга допущений'!$C195*'Книга допущений'!$D195*'План продаж'!AP$14+'Книга допущений'!$C203*'Книга допущений'!$D203*'План продаж'!AP$15+'Книга допущений'!$C208*'Книга допущений'!$D208*'План продаж'!AP$16)*'Книга допущений'!$B$19^Расходы!AO$10/1000*(1+Риски!$B$14)</f>
        <v>161.95655174927157</v>
      </c>
      <c r="AP25" s="114">
        <f>('Книга допущений'!$C195*'Книга допущений'!$D195*'План продаж'!AQ$14+'Книга допущений'!$C203*'Книга допущений'!$D203*'План продаж'!AQ$15+'Книга допущений'!$C208*'Книга допущений'!$D208*'План продаж'!AQ$16)*'Книга допущений'!$B$19^Расходы!AP$10/1000*(1+Риски!$B$14)</f>
        <v>127.99791993087591</v>
      </c>
      <c r="AQ25" s="114">
        <f>('Книга допущений'!$C195*'Книга допущений'!$D195*'План продаж'!AR$14+'Книга допущений'!$C203*'Книга допущений'!$D203*'План продаж'!AR$15+'Книга допущений'!$C208*'Книга допущений'!$D208*'План продаж'!AR$16)*'Книга допущений'!$B$19^Расходы!AQ$10/1000*(1+Риски!$B$14)</f>
        <v>161.95655174927157</v>
      </c>
      <c r="AR25" s="114">
        <f>('Книга допущений'!$C195*'Книга допущений'!$D195*'План продаж'!AS$14+'Книга допущений'!$C203*'Книга допущений'!$D203*'План продаж'!AS$15+'Книга допущений'!$C208*'Книга допущений'!$D208*'План продаж'!AS$16)*'Книга допущений'!$B$19^Расходы!AR$10/1000*(1+Риски!$B$14)</f>
        <v>137.14062849736703</v>
      </c>
      <c r="AS25" s="114">
        <f>('Книга допущений'!$C195*'Книга допущений'!$D195*'План продаж'!AT$14+'Книга допущений'!$C203*'Книга допущений'!$D203*'План продаж'!AT$15+'Книга допущений'!$C208*'Книга допущений'!$D208*'План продаж'!AT$16)*'Книга допущений'!$B$19^Расходы!AS$10/1000*(1+Риски!$B$14)</f>
        <v>202.44568968658945</v>
      </c>
      <c r="AT25" s="114">
        <f>('Книга допущений'!$C195*'Книга допущений'!$D195*'План продаж'!AU$14+'Книга допущений'!$C203*'Книга допущений'!$D203*'План продаж'!AU$15+'Книга допущений'!$C208*'Книга допущений'!$D208*'План продаж'!AU$16)*'Книга допущений'!$B$19^Расходы!AT$10/1000*(1+Риски!$B$14)</f>
        <v>235.09822028120064</v>
      </c>
      <c r="AU25" s="114">
        <f>('Книга допущений'!$C195*'Книга допущений'!$D195*'План продаж'!AV$14+'Книга допущений'!$C203*'Книга допущений'!$D203*'План продаж'!AV$15+'Книга допущений'!$C208*'Книга допущений'!$D208*'План продаж'!AV$16)*'Книга допущений'!$B$19^Расходы!AU$10/1000*(1+Риски!$B$14)</f>
        <v>283.4239655612252</v>
      </c>
      <c r="AV25" s="114">
        <f>('Книга допущений'!$C195*'Книга допущений'!$D195*'План продаж'!AW$14+'Книга допущений'!$C203*'Книга допущений'!$D203*'План продаж'!AW$15+'Книга допущений'!$C208*'Книга допущений'!$D208*'План продаж'!AW$16)*'Книга допущений'!$B$19^Расходы!AV$10/1000*(1+Риски!$B$14)</f>
        <v>263.17939659256632</v>
      </c>
      <c r="AW25" s="114">
        <f>('Книга допущений'!$C195*'Книга допущений'!$D195*'План продаж'!AX$14+'Книга допущений'!$C203*'Книга допущений'!$D203*'План продаж'!AX$15+'Книга допущений'!$C208*'Книга допущений'!$D208*'План продаж'!AX$16)*'Книга допущений'!$B$19^Расходы!AW$10/1000*(1+Риски!$B$14)</f>
        <v>195.91518356766721</v>
      </c>
      <c r="AX25" s="114">
        <f>('Книга допущений'!$C195*'Книга допущений'!$D195*'План продаж'!AY$14+'Книга допущений'!$C203*'Книга допущений'!$D203*'План продаж'!AY$15+'Книга допущений'!$C208*'Книга допущений'!$D208*'План продаж'!AY$16)*'Книга допущений'!$B$19^Расходы!AX$10/1000*(1+Риски!$B$14)</f>
        <v>192.32340520225995</v>
      </c>
      <c r="AY25" s="114">
        <f>('Книга допущений'!$C195*'Книга допущений'!$D195*'План продаж'!AZ$14+'Книга допущений'!$C203*'Книга допущений'!$D203*'План продаж'!AZ$15+'Книга допущений'!$C208*'Книга допущений'!$D208*'План продаж'!AZ$16)*'Книга допущений'!$B$19^Расходы!AY$10/1000*(1+Риски!$B$14)</f>
        <v>137.14062849736703</v>
      </c>
      <c r="AZ25" s="114">
        <f>('Книга допущений'!$C195*'Книга допущений'!$D195*'План продаж'!BA$14+'Книга допущений'!$C203*'Книга допущений'!$D203*'План продаж'!BA$15+'Книга допущений'!$C208*'Книга допущений'!$D208*'План продаж'!BA$16)*'Книга допущений'!$B$19^Расходы!AZ$10/1000*(1+Риски!$B$14)</f>
        <v>293.5462500455547</v>
      </c>
      <c r="BA25" s="114">
        <f>('Книга допущений'!$C195*'Книга допущений'!$D195*'План продаж'!BB$14+'Книга допущений'!$C203*'Книга допущений'!$D203*'План продаж'!BB$15+'Книга допущений'!$C208*'Книга допущений'!$D208*'План продаж'!BB$16)*'Книга допущений'!$B$19^Расходы!BA$10/1000*(1+Риски!$B$14)</f>
        <v>168.43481381924246</v>
      </c>
      <c r="BB25" s="114">
        <f>('Книга допущений'!$C195*'Книга допущений'!$D195*'План продаж'!BC$14+'Книга допущений'!$C203*'Книга допущений'!$D203*'План продаж'!BC$15+'Книга допущений'!$C208*'Книга допущений'!$D208*'План продаж'!BC$16)*'Книга допущений'!$B$19^Расходы!BB$10/1000*(1+Риски!$B$14)</f>
        <v>133.11783672811097</v>
      </c>
      <c r="BC25" s="114">
        <f>('Книга допущений'!$C195*'Книга допущений'!$D195*'План продаж'!BD$14+'Книга допущений'!$C203*'Книга допущений'!$D203*'План продаж'!BD$15+'Книга допущений'!$C208*'Книга допущений'!$D208*'План продаж'!BD$16)*'Книга допущений'!$B$19^Расходы!BC$10/1000*(1+Риски!$B$14)</f>
        <v>168.43481381924246</v>
      </c>
      <c r="BD25" s="114">
        <f>('Книга допущений'!$C195*'Книга допущений'!$D195*'План продаж'!BE$14+'Книга допущений'!$C203*'Книга допущений'!$D203*'План продаж'!BE$15+'Книга допущений'!$C208*'Книга допущений'!$D208*'План продаж'!BE$16)*'Книга допущений'!$B$19^Расходы!BD$10/1000*(1+Риски!$B$14)</f>
        <v>142.62625363726175</v>
      </c>
      <c r="BE25" s="114">
        <f>('Книга допущений'!$C195*'Книга допущений'!$D195*'План продаж'!BF$14+'Книга допущений'!$C203*'Книга допущений'!$D203*'План продаж'!BF$15+'Книга допущений'!$C208*'Книга допущений'!$D208*'План продаж'!BF$16)*'Книга допущений'!$B$19^Расходы!BE$10/1000*(1+Риски!$B$14)</f>
        <v>210.54351727405304</v>
      </c>
      <c r="BF25" s="114">
        <f>('Книга допущений'!$C195*'Книга допущений'!$D195*'План продаж'!BG$14+'Книга допущений'!$C203*'Книга допущений'!$D203*'План продаж'!BG$15+'Книга допущений'!$C208*'Книга допущений'!$D208*'План продаж'!BG$16)*'Книга допущений'!$B$19^Расходы!BF$10/1000*(1+Риски!$B$14)</f>
        <v>244.50214909244866</v>
      </c>
      <c r="BG25" s="114">
        <f>('Книга допущений'!$C195*'Книга допущений'!$D195*'План продаж'!BH$14+'Книга допущений'!$C203*'Книга допущений'!$D203*'План продаж'!BH$15+'Книга допущений'!$C208*'Книга допущений'!$D208*'План продаж'!BH$16)*'Книга допущений'!$B$19^Расходы!BG$10/1000*(1+Риски!$B$14)</f>
        <v>294.76092418367426</v>
      </c>
      <c r="BH25" s="114">
        <f>('Книга допущений'!$C195*'Книга допущений'!$D195*'План продаж'!BI$14+'Книга допущений'!$C203*'Книга допущений'!$D203*'План продаж'!BI$15+'Книга допущений'!$C208*'Книга допущений'!$D208*'План продаж'!BI$16)*'Книга допущений'!$B$19^Расходы!BH$10/1000*(1+Риски!$B$14)</f>
        <v>273.70657245626899</v>
      </c>
      <c r="BI25" s="114">
        <f>('Книга допущений'!$C195*'Книга допущений'!$D195*'План продаж'!BJ$14+'Книга допущений'!$C203*'Книга допущений'!$D203*'План продаж'!BJ$15+'Книга допущений'!$C208*'Книга допущений'!$D208*'План продаж'!BJ$16)*'Книга допущений'!$B$19^Расходы!BI$10/1000*(1+Риски!$B$14)</f>
        <v>203.7517909103739</v>
      </c>
      <c r="BJ25" s="114">
        <f>('Книга допущений'!$C195*'Книга допущений'!$D195*'План продаж'!BK$14+'Книга допущений'!$C203*'Книга допущений'!$D203*'План продаж'!BK$15+'Книга допущений'!$C208*'Книга допущений'!$D208*'План продаж'!BK$16)*'Книга допущений'!$B$19^Расходы!BJ$10/1000*(1+Риски!$B$14)</f>
        <v>200.01634141035038</v>
      </c>
      <c r="BK25" s="114">
        <f>('Книга допущений'!$C195*'Книга допущений'!$D195*'План продаж'!BL$14+'Книга допущений'!$C203*'Книга допущений'!$D203*'План продаж'!BL$15+'Книга допущений'!$C208*'Книга допущений'!$D208*'План продаж'!BL$16)*'Книга допущений'!$B$19^Расходы!BK$10/1000*(1+Риски!$B$14)</f>
        <v>142.62625363726175</v>
      </c>
      <c r="BL25" s="114">
        <f>('Книга допущений'!$C195*'Книга допущений'!$D195*'План продаж'!BM$14+'Книга допущений'!$C203*'Книга допущений'!$D203*'План продаж'!BM$15+'Книга допущений'!$C208*'Книга допущений'!$D208*'План продаж'!BM$16)*'Книга допущений'!$B$19^Расходы!BL$10/1000*(1+Риски!$B$14)</f>
        <v>305.28810004737693</v>
      </c>
      <c r="BM25" s="114">
        <f>('Книга допущений'!$C195*'Книга допущений'!$D195*'План продаж'!BN$14+'Книга допущений'!$C203*'Книга допущений'!$D203*'План продаж'!BN$15+'Книга допущений'!$C208*'Книга допущений'!$D208*'План продаж'!BN$16)*'Книга допущений'!$B$19^Расходы!BM$10/1000*(1+Риски!$B$14)</f>
        <v>175.17220637201217</v>
      </c>
      <c r="BN25" s="114">
        <f>('Книга допущений'!$C195*'Книга допущений'!$D195*'План продаж'!BO$14+'Книга допущений'!$C203*'Книга допущений'!$D203*'План продаж'!BO$15+'Книга допущений'!$C208*'Книга допущений'!$D208*'План продаж'!BO$16)*'Книга допущений'!$B$19^Расходы!BN$10/1000*(1+Риски!$B$14)</f>
        <v>138.44255019723539</v>
      </c>
      <c r="BO25" s="114">
        <f>('Книга допущений'!$C195*'Книга допущений'!$D195*'План продаж'!BP$14+'Книга допущений'!$C203*'Книга допущений'!$D203*'План продаж'!BP$15+'Книга допущений'!$C208*'Книга допущений'!$D208*'План продаж'!BP$16)*'Книга допущений'!$B$19^Расходы!BO$10/1000*(1+Риски!$B$14)</f>
        <v>175.17220637201217</v>
      </c>
      <c r="BP25" s="114">
        <f>('Книга допущений'!$C195*'Книга допущений'!$D195*'План продаж'!BQ$14+'Книга допущений'!$C203*'Книга допущений'!$D203*'План продаж'!BQ$15+'Книга допущений'!$C208*'Книга допущений'!$D208*'План продаж'!BQ$16)*'Книга допущений'!$B$19^Расходы!BP$10/1000*(1+Риски!$B$14)</f>
        <v>148.3313037827522</v>
      </c>
      <c r="BQ25" s="114">
        <f>('Книга допущений'!$C195*'Книга допущений'!$D195*'План продаж'!BR$14+'Книга допущений'!$C203*'Книга допущений'!$D203*'План продаж'!BR$15+'Книга допущений'!$C208*'Книга допущений'!$D208*'План продаж'!BR$16)*'Книга допущений'!$B$19^Расходы!BQ$10/1000*(1+Риски!$B$14)</f>
        <v>218.96525796501516</v>
      </c>
      <c r="BR25" s="114">
        <f>('Книга допущений'!$C195*'Книга допущений'!$D195*'План продаж'!BS$14+'Книга допущений'!$C203*'Книга допущений'!$D203*'План продаж'!BS$15+'Книга допущений'!$C208*'Книга допущений'!$D208*'План продаж'!BS$16)*'Книга допущений'!$B$19^Расходы!BR$10/1000*(1+Риски!$B$14)</f>
        <v>254.28223505614662</v>
      </c>
      <c r="BS25" s="114">
        <f>('Книга допущений'!$C195*'Книга допущений'!$D195*'План продаж'!BT$14+'Книга допущений'!$C203*'Книга допущений'!$D203*'План продаж'!BT$15+'Книга допущений'!$C208*'Книга допущений'!$D208*'План продаж'!BT$16)*'Книга допущений'!$B$19^Расходы!BS$10/1000*(1+Риски!$B$14)</f>
        <v>306.55136115102118</v>
      </c>
      <c r="BT25" s="114">
        <f>('Книга допущений'!$C195*'Книга допущений'!$D195*'План продаж'!BU$14+'Книга допущений'!$C203*'Книга допущений'!$D203*'План продаж'!BU$15+'Книга допущений'!$C208*'Книга допущений'!$D208*'План продаж'!BU$16)*'Книга допущений'!$B$19^Расходы!BT$10/1000*(1+Риски!$B$14)</f>
        <v>284.65483535451978</v>
      </c>
      <c r="BU25" s="114">
        <f>('Книга допущений'!$C195*'Книга допущений'!$D195*'План продаж'!BV$14+'Книга допущений'!$C203*'Книга допущений'!$D203*'План продаж'!BV$15+'Книга допущений'!$C208*'Книга допущений'!$D208*'План продаж'!BV$16)*'Книга допущений'!$B$19^Расходы!BU$10/1000*(1+Риски!$B$14)</f>
        <v>211.90186254678886</v>
      </c>
      <c r="BV25" s="114">
        <f>('Книга допущений'!$C195*'Книга допущений'!$D195*'План продаж'!BW$14+'Книга допущений'!$C203*'Книга допущений'!$D203*'План продаж'!BW$15+'Книга допущений'!$C208*'Книга допущений'!$D208*'План продаж'!BW$16)*'Книга допущений'!$B$19^Расходы!BV$10/1000*(1+Риски!$B$14)</f>
        <v>208.01699506676439</v>
      </c>
      <c r="BW25" s="114">
        <f>('Книга допущений'!$C195*'Книга допущений'!$D195*'План продаж'!BX$14+'Книга допущений'!$C203*'Книга допущений'!$D203*'План продаж'!BX$15+'Книга допущений'!$C208*'Книга допущений'!$D208*'План продаж'!BX$16)*'Книга допущений'!$B$19^Расходы!BW$10/1000*(1+Риски!$B$14)</f>
        <v>148.3313037827522</v>
      </c>
      <c r="BX25" s="114">
        <f>('Книга допущений'!$C195*'Книга допущений'!$D195*'План продаж'!BY$14+'Книга допущений'!$C203*'Книга допущений'!$D203*'План продаж'!BY$15+'Книга допущений'!$C208*'Книга допущений'!$D208*'План продаж'!BY$16)*'Книга допущений'!$B$19^Расходы!BX$10/1000*(1+Риски!$B$14)</f>
        <v>317.49962404927203</v>
      </c>
    </row>
    <row r="26" spans="1:76" s="43" customFormat="1" x14ac:dyDescent="0.25">
      <c r="A26" s="157" t="str">
        <f>'Книга допущений'!A196</f>
        <v>Водоснабжение и водоотведение</v>
      </c>
      <c r="B26" s="114">
        <f>('Книга допущений'!$C196*'Книга допущений'!$D196*'План продаж'!C$14+'Книга допущений'!$C204*'Книга допущений'!$D204*'План продаж'!C$15+'Книга допущений'!$C209*'Книга допущений'!$D209*'План продаж'!C$16)*'Книга допущений'!$B$19^Расходы!B$10/1000*(1+Риски!$B$14)</f>
        <v>0</v>
      </c>
      <c r="C26" s="114">
        <f>('Книга допущений'!$C196*'Книга допущений'!$D196*'План продаж'!D$14+'Книга допущений'!$C204*'Книга допущений'!$D204*'План продаж'!D$15+'Книга допущений'!$C209*'Книга допущений'!$D209*'План продаж'!D$16)*'Книга допущений'!$B$19^Расходы!C$10/1000*(1+Риски!$B$14)</f>
        <v>0</v>
      </c>
      <c r="D26" s="114">
        <f>('Книга допущений'!$C196*'Книга допущений'!$D196*'План продаж'!E$14+'Книга допущений'!$C204*'Книга допущений'!$D204*'План продаж'!E$15+'Книга допущений'!$C209*'Книга допущений'!$D209*'План продаж'!E$16)*'Книга допущений'!$B$19^Расходы!D$10/1000*(1+Риски!$B$14)</f>
        <v>0</v>
      </c>
      <c r="E26" s="114">
        <f>('Книга допущений'!$C196*'Книга допущений'!$D196*'План продаж'!F$14+'Книга допущений'!$C204*'Книга допущений'!$D204*'План продаж'!F$15+'Книга допущений'!$C209*'Книга допущений'!$D209*'План продаж'!F$16)*'Книга допущений'!$B$19^Расходы!E$10/1000*(1+Риски!$B$14)</f>
        <v>0</v>
      </c>
      <c r="F26" s="114">
        <f>('Книга допущений'!$C196*'Книга допущений'!$D196*'План продаж'!G$14+'Книга допущений'!$C204*'Книга допущений'!$D204*'План продаж'!G$15+'Книга допущений'!$C209*'Книга допущений'!$D209*'План продаж'!G$16)*'Книга допущений'!$B$19^Расходы!F$10/1000*(1+Риски!$B$14)</f>
        <v>0</v>
      </c>
      <c r="G26" s="114">
        <f>('Книга допущений'!$C196*'Книга допущений'!$D196*'План продаж'!H$14+'Книга допущений'!$C204*'Книга допущений'!$D204*'План продаж'!H$15+'Книга допущений'!$C209*'Книга допущений'!$D209*'План продаж'!H$16)*'Книга допущений'!$B$19^Расходы!G$10/1000*(1+Риски!$B$14)</f>
        <v>0</v>
      </c>
      <c r="H26" s="114">
        <f>('Книга допущений'!$C196*'Книга допущений'!$D196*'План продаж'!I$14+'Книга допущений'!$C204*'Книга допущений'!$D204*'План продаж'!I$15+'Книга допущений'!$C209*'Книга допущений'!$D209*'План продаж'!I$16)*'Книга допущений'!$B$19^Расходы!H$10/1000*(1+Риски!$B$14)</f>
        <v>0</v>
      </c>
      <c r="I26" s="114">
        <f>('Книга допущений'!$C196*'Книга допущений'!$D196*'План продаж'!J$14+'Книга допущений'!$C204*'Книга допущений'!$D204*'План продаж'!J$15+'Книга допущений'!$C209*'Книга допущений'!$D209*'План продаж'!J$16)*'Книга допущений'!$B$19^Расходы!I$10/1000*(1+Риски!$B$14)</f>
        <v>0</v>
      </c>
      <c r="J26" s="114">
        <f>('Книга допущений'!$C196*'Книга допущений'!$D196*'План продаж'!K$14+'Книга допущений'!$C204*'Книга допущений'!$D204*'План продаж'!K$15+'Книга допущений'!$C209*'Книга допущений'!$D209*'План продаж'!K$16)*'Книга допущений'!$B$19^Расходы!J$10/1000*(1+Риски!$B$14)</f>
        <v>0</v>
      </c>
      <c r="K26" s="114">
        <f>('Книга допущений'!$C196*'Книга допущений'!$D196*'План продаж'!L$14+'Книга допущений'!$C204*'Книга допущений'!$D204*'План продаж'!L$15+'Книга допущений'!$C209*'Книга допущений'!$D209*'План продаж'!L$16)*'Книга допущений'!$B$19^Расходы!K$10/1000*(1+Риски!$B$14)</f>
        <v>99.199185845759985</v>
      </c>
      <c r="L26" s="114">
        <f>('Книга допущений'!$C196*'Книга допущений'!$D196*'План продаж'!M$14+'Книга допущений'!$C204*'Книга допущений'!$D204*'План продаж'!M$15+'Книга допущений'!$C209*'Книга допущений'!$D209*'План продаж'!M$16)*'Книга допущений'!$B$19^Расходы!L$10/1000*(1+Риски!$B$14)</f>
        <v>101.32488268531201</v>
      </c>
      <c r="M26" s="114">
        <f>('Книга допущений'!$C196*'Книга допущений'!$D196*'План продаж'!N$14+'Книга допущений'!$C204*'Книга допущений'!$D204*'План продаж'!N$15+'Книга допущений'!$C209*'Книга допущений'!$D209*'План продаж'!N$16)*'Книга допущений'!$B$19^Расходы!M$10/1000*(1+Риски!$B$14)</f>
        <v>82.285038950400022</v>
      </c>
      <c r="N26" s="114">
        <f>('Книга допущений'!$C196*'Книга допущений'!$D196*'План продаж'!O$14+'Книга допущений'!$C204*'Книга допущений'!$D204*'План продаж'!O$15+'Книга допущений'!$C209*'Книга допущений'!$D209*'План продаж'!O$16)*'Книга допущений'!$B$19^Расходы!N$10/1000*(1+Риски!$B$14)</f>
        <v>87.507853228224022</v>
      </c>
      <c r="O26" s="114">
        <f>('Книга допущений'!$C196*'Книга допущений'!$D196*'План продаж'!P$14+'Книга допущений'!$C204*'Книга допущений'!$D204*'План продаж'!P$15+'Книга допущений'!$C209*'Книга допущений'!$D209*'План продаж'!P$16)*'Книга допущений'!$B$19^Расходы!O$10/1000*(1+Риски!$B$14)</f>
        <v>67.199448476160001</v>
      </c>
      <c r="P26" s="114">
        <f>('Книга допущений'!$C196*'Книга допущений'!$D196*'План продаж'!Q$14+'Книга допущений'!$C204*'Книга допущений'!$D204*'План продаж'!Q$15+'Книга допущений'!$C209*'Книга допущений'!$D209*'План продаж'!Q$16)*'Книга допущений'!$B$19^Расходы!P$10/1000*(1+Риски!$B$14)</f>
        <v>154.11302086752005</v>
      </c>
      <c r="Q26" s="114">
        <f>('Книга допущений'!$C196*'Книга допущений'!$D196*'План продаж'!R$14+'Книга допущений'!$C204*'Книга допущений'!$D204*'План продаж'!R$15+'Книга допущений'!$C209*'Книга допущений'!$D209*'План продаж'!R$16)*'Книга допущений'!$B$19^Расходы!Q$10/1000*(1+Риски!$B$14)</f>
        <v>94.324254427054129</v>
      </c>
      <c r="R26" s="114">
        <f>('Книга допущений'!$C196*'Книга допущений'!$D196*'План продаж'!S$14+'Книга допущений'!$C204*'Книга допущений'!$D204*'План продаж'!S$15+'Книга допущений'!$C209*'Книга допущений'!$D209*'План продаж'!S$16)*'Книга допущений'!$B$19^Расходы!R$10/1000*(1+Риски!$B$14)</f>
        <v>79.205749937233932</v>
      </c>
      <c r="S26" s="114">
        <f>('Книга допущений'!$C196*'Книга допущений'!$D196*'План продаж'!T$14+'Книга допущений'!$C204*'Книга допущений'!$D204*'План продаж'!T$15+'Книга допущений'!$C209*'Книга допущений'!$D209*'План продаж'!T$16)*'Книга допущений'!$B$19^Расходы!S$10/1000*(1+Риски!$B$14)</f>
        <v>106.11478623043588</v>
      </c>
      <c r="T26" s="114">
        <f>('Книга допущений'!$C196*'Книга допущений'!$D196*'План продаж'!U$14+'Книга допущений'!$C204*'Книга допущений'!$D204*'План продаж'!U$15+'Книга допущений'!$C209*'Книга допущений'!$D209*'План продаж'!U$16)*'Книга допущений'!$B$19^Расходы!T$10/1000*(1+Риски!$B$14)</f>
        <v>94.847221563494443</v>
      </c>
      <c r="U26" s="114">
        <f>('Книга допущений'!$C196*'Книга допущений'!$D196*'План продаж'!V$14+'Книга допущений'!$C204*'Книга допущений'!$D204*'План продаж'!V$15+'Книга допущений'!$C209*'Книга допущений'!$D209*'План продаж'!V$16)*'Книга допущений'!$B$19^Расходы!U$10/1000*(1+Риски!$B$14)</f>
        <v>147.38164754227211</v>
      </c>
      <c r="V26" s="114">
        <f>('Книга допущений'!$C196*'Книга допущений'!$D196*'План продаж'!W$14+'Книга допущений'!$C204*'Книга допущений'!$D204*'План продаж'!W$15+'Книга допущений'!$C209*'Книга допущений'!$D209*'План продаж'!W$16)*'Книга допущений'!$B$19^Расходы!V$10/1000*(1+Риски!$B$14)</f>
        <v>171.152881016832</v>
      </c>
      <c r="W26" s="114">
        <f>('Книга допущений'!$C196*'Книга допущений'!$D196*'План продаж'!X$14+'Книга допущений'!$C204*'Книга допущений'!$D204*'План продаж'!X$15+'Книга допущений'!$C209*'Книга допущений'!$D209*'План продаж'!X$16)*'Книга допущений'!$B$19^Расходы!W$10/1000*(1+Риски!$B$14)</f>
        <v>206.33430655918082</v>
      </c>
      <c r="X26" s="114">
        <f>('Книга допущений'!$C196*'Книга допущений'!$D196*'План продаж'!Y$14+'Книга допущений'!$C204*'Книга допущений'!$D204*'План продаж'!Y$15+'Книга допущений'!$C209*'Книга допущений'!$D209*'План продаж'!Y$16)*'Книга допущений'!$B$19^Расходы!X$10/1000*(1+Риски!$B$14)</f>
        <v>191.59614180495365</v>
      </c>
      <c r="Y26" s="114">
        <f>('Книга допущений'!$C196*'Книга допущений'!$D196*'План продаж'!Z$14+'Книга допущений'!$C204*'Книга допущений'!$D204*'План продаж'!Z$15+'Книга допущений'!$C209*'Книга допущений'!$D209*'План продаж'!Z$16)*'Книга допущений'!$B$19^Расходы!Y$10/1000*(1+Риски!$B$14)</f>
        <v>142.62740084736004</v>
      </c>
      <c r="Z26" s="114">
        <f>('Книга допущений'!$C196*'Книга допущений'!$D196*'План продаж'!AA$14+'Книга допущений'!$C204*'Книга допущений'!$D204*'План продаж'!AA$15+'Книга допущений'!$C209*'Книга допущений'!$D209*'План продаж'!AA$16)*'Книга допущений'!$B$19^Расходы!Z$10/1000*(1+Риски!$B$14)</f>
        <v>140.01256516515838</v>
      </c>
      <c r="AA26" s="114">
        <f>('Книга допущений'!$C196*'Книга допущений'!$D196*'План продаж'!AB$14+'Книга допущений'!$C204*'Книга допущений'!$D204*'План продаж'!AB$15+'Книга допущений'!$C209*'Книга допущений'!$D209*'План продаж'!AB$16)*'Книга допущений'!$B$19^Расходы!AA$10/1000*(1+Риски!$B$14)</f>
        <v>99.83918059315198</v>
      </c>
      <c r="AB26" s="114">
        <f>('Книга допущений'!$C196*'Книга допущений'!$D196*'План продаж'!AC$14+'Книга допущений'!$C204*'Книга допущений'!$D204*'План продаж'!AC$15+'Книга допущений'!$C209*'Книга допущений'!$D209*'План продаж'!AC$16)*'Книга допущений'!$B$19^Расходы!AB$10/1000*(1+Риски!$B$14)</f>
        <v>213.70338893629443</v>
      </c>
      <c r="AC26" s="114">
        <f>('Книга допущений'!$C196*'Книга допущений'!$D196*'План продаж'!AD$14+'Книга допущений'!$C204*'Книга допущений'!$D204*'План продаж'!AD$15+'Книга допущений'!$C209*'Книга допущений'!$D209*'План продаж'!AD$16)*'Книга допущений'!$B$19^Расходы!AC$10/1000*(1+Риски!$B$14)</f>
        <v>122.62153075517033</v>
      </c>
      <c r="AD26" s="114">
        <f>('Книга допущений'!$C196*'Книга допущений'!$D196*'План продаж'!AE$14+'Книга допущений'!$C204*'Книга допущений'!$D204*'План продаж'!AE$15+'Книга допущений'!$C209*'Книга допущений'!$D209*'План продаж'!AE$16)*'Книга допущений'!$B$19^Расходы!AD$10/1000*(1+Риски!$B$14)</f>
        <v>96.91056462908621</v>
      </c>
      <c r="AE26" s="114">
        <f>('Книга допущений'!$C196*'Книга допущений'!$D196*'План продаж'!AF$14+'Книга допущений'!$C204*'Книга допущений'!$D204*'План продаж'!AF$15+'Книга допущений'!$C209*'Книга допущений'!$D209*'План продаж'!AF$16)*'Книга допущений'!$B$19^Расходы!AE$10/1000*(1+Риски!$B$14)</f>
        <v>122.62153075517033</v>
      </c>
      <c r="AF26" s="114">
        <f>('Книга допущений'!$C196*'Книга допущений'!$D196*'План продаж'!AG$14+'Книга допущений'!$C204*'Книга допущений'!$D204*'План продаж'!AG$15+'Книга допущений'!$C209*'Книга допущений'!$D209*'План продаж'!AG$16)*'Книга допущений'!$B$19^Расходы!AF$10/1000*(1+Риски!$B$14)</f>
        <v>103.83274781687807</v>
      </c>
      <c r="AG26" s="114">
        <f>('Книга допущений'!$C196*'Книга допущений'!$D196*'План продаж'!AH$14+'Книга допущений'!$C204*'Книга допущений'!$D204*'План продаж'!AH$15+'Книга допущений'!$C209*'Книга допущений'!$D209*'План продаж'!AH$16)*'Книга допущений'!$B$19^Расходы!AG$10/1000*(1+Риски!$B$14)</f>
        <v>153.27691344396288</v>
      </c>
      <c r="AH26" s="114">
        <f>('Книга допущений'!$C196*'Книга допущений'!$D196*'План продаж'!AI$14+'Книга допущений'!$C204*'Книга допущений'!$D204*'План продаж'!AI$15+'Книга допущений'!$C209*'Книга допущений'!$D209*'План продаж'!AI$16)*'Книга допущений'!$B$19^Расходы!AH$10/1000*(1+Риски!$B$14)</f>
        <v>177.99899625750527</v>
      </c>
      <c r="AI26" s="114">
        <f>('Книга допущений'!$C196*'Книга допущений'!$D196*'План продаж'!AJ$14+'Книга допущений'!$C204*'Книга допущений'!$D204*'План продаж'!AJ$15+'Книга допущений'!$C209*'Книга допущений'!$D209*'План продаж'!AJ$16)*'Книга допущений'!$B$19^Расходы!AI$10/1000*(1+Риски!$B$14)</f>
        <v>214.58767882154802</v>
      </c>
      <c r="AJ26" s="114">
        <f>('Книга допущений'!$C196*'Книга допущений'!$D196*'План продаж'!AK$14+'Книга допущений'!$C204*'Книга допущений'!$D204*'План продаж'!AK$15+'Книга допущений'!$C209*'Книга допущений'!$D209*'План продаж'!AK$16)*'Книга допущений'!$B$19^Расходы!AJ$10/1000*(1+Риски!$B$14)</f>
        <v>199.25998747715178</v>
      </c>
      <c r="AK26" s="114">
        <f>('Книга допущений'!$C196*'Книга допущений'!$D196*'План продаж'!AL$14+'Книга допущений'!$C204*'Книга допущений'!$D204*'План продаж'!AL$15+'Книга допущений'!$C209*'Книга допущений'!$D209*'План продаж'!AL$16)*'Книга допущений'!$B$19^Расходы!AK$10/1000*(1+Риски!$B$14)</f>
        <v>148.3324968812544</v>
      </c>
      <c r="AL26" s="114">
        <f>('Книга допущений'!$C196*'Книга допущений'!$D196*'План продаж'!AM$14+'Книга допущений'!$C204*'Книга допущений'!$D204*'План продаж'!AM$15+'Книга допущений'!$C209*'Книга допущений'!$D209*'План продаж'!AM$16)*'Книга допущений'!$B$19^Расходы!AL$10/1000*(1+Риски!$B$14)</f>
        <v>145.61306777176472</v>
      </c>
      <c r="AM26" s="114">
        <f>('Книга допущений'!$C196*'Книга допущений'!$D196*'План продаж'!AN$14+'Книга допущений'!$C204*'Книга допущений'!$D204*'План продаж'!AN$15+'Книга допущений'!$C209*'Книга допущений'!$D209*'План продаж'!AN$16)*'Книга допущений'!$B$19^Расходы!AM$10/1000*(1+Риски!$B$14)</f>
        <v>103.83274781687807</v>
      </c>
      <c r="AN26" s="114">
        <f>('Книга допущений'!$C196*'Книга допущений'!$D196*'План продаж'!AO$14+'Книга допущений'!$C204*'Книга допущений'!$D204*'План продаж'!AO$15+'Книга допущений'!$C209*'Книга допущений'!$D209*'План продаж'!AO$16)*'Книга допущений'!$B$19^Расходы!AN$10/1000*(1+Риски!$B$14)</f>
        <v>222.25152449374619</v>
      </c>
      <c r="AO26" s="114">
        <f>('Книга допущений'!$C196*'Книга допущений'!$D196*'План продаж'!AP$14+'Книга допущений'!$C204*'Книга допущений'!$D204*'План продаж'!AP$15+'Книга допущений'!$C209*'Книга допущений'!$D209*'План продаж'!AP$16)*'Книга допущений'!$B$19^Расходы!AO$10/1000*(1+Риски!$B$14)</f>
        <v>127.52639198537715</v>
      </c>
      <c r="AP26" s="114">
        <f>('Книга допущений'!$C196*'Книга допущений'!$D196*'План продаж'!AQ$14+'Книга допущений'!$C204*'Книга допущений'!$D204*'План продаж'!AQ$15+'Книга допущений'!$C209*'Книга допущений'!$D209*'План продаж'!AQ$16)*'Книга допущений'!$B$19^Расходы!AP$10/1000*(1+Риски!$B$14)</f>
        <v>100.78698721424966</v>
      </c>
      <c r="AQ26" s="114">
        <f>('Книга допущений'!$C196*'Книга допущений'!$D196*'План продаж'!AR$14+'Книга допущений'!$C204*'Книга допущений'!$D204*'План продаж'!AR$15+'Книга допущений'!$C209*'Книга допущений'!$D209*'План продаж'!AR$16)*'Книга допущений'!$B$19^Расходы!AQ$10/1000*(1+Риски!$B$14)</f>
        <v>127.52639198537715</v>
      </c>
      <c r="AR26" s="114">
        <f>('Книга допущений'!$C196*'Книга допущений'!$D196*'План продаж'!AS$14+'Книга допущений'!$C204*'Книга допущений'!$D204*'План продаж'!AS$15+'Книга допущений'!$C209*'Книга допущений'!$D209*'План продаж'!AS$16)*'Книга допущений'!$B$19^Расходы!AR$10/1000*(1+Риски!$B$14)</f>
        <v>107.9860577295532</v>
      </c>
      <c r="AS26" s="114">
        <f>('Книга допущений'!$C196*'Книга допущений'!$D196*'План продаж'!AT$14+'Книга допущений'!$C204*'Книга допущений'!$D204*'План продаж'!AT$15+'Книга допущений'!$C209*'Книга допущений'!$D209*'План продаж'!AT$16)*'Книга допущений'!$B$19^Расходы!AS$10/1000*(1+Риски!$B$14)</f>
        <v>159.40798998172141</v>
      </c>
      <c r="AT26" s="114">
        <f>('Книга допущений'!$C196*'Книга допущений'!$D196*'План продаж'!AU$14+'Книга допущений'!$C204*'Книга допущений'!$D204*'План продаж'!AU$15+'Книга допущений'!$C209*'Книга допущений'!$D209*'План продаж'!AU$16)*'Книга допущений'!$B$19^Расходы!AT$10/1000*(1+Риски!$B$14)</f>
        <v>185.11895610780547</v>
      </c>
      <c r="AU26" s="114">
        <f>('Книга допущений'!$C196*'Книга допущений'!$D196*'План продаж'!AV$14+'Книга допущений'!$C204*'Книга допущений'!$D204*'План продаж'!AV$15+'Книга допущений'!$C209*'Книга допущений'!$D209*'План продаж'!AV$16)*'Книга допущений'!$B$19^Расходы!AU$10/1000*(1+Риски!$B$14)</f>
        <v>223.17118597440998</v>
      </c>
      <c r="AV26" s="114">
        <f>('Книга допущений'!$C196*'Книга допущений'!$D196*'План продаж'!AW$14+'Книга допущений'!$C204*'Книга допущений'!$D204*'План продаж'!AW$15+'Книга допущений'!$C209*'Книга допущений'!$D209*'План продаж'!AW$16)*'Книга допущений'!$B$19^Расходы!AV$10/1000*(1+Риски!$B$14)</f>
        <v>207.2303869762379</v>
      </c>
      <c r="AW26" s="114">
        <f>('Книга допущений'!$C196*'Книга допущений'!$D196*'План продаж'!AX$14+'Книга допущений'!$C204*'Книга допущений'!$D204*'План продаж'!AX$15+'Книга допущений'!$C209*'Книга допущений'!$D209*'План продаж'!AX$16)*'Книга допущений'!$B$19^Расходы!AW$10/1000*(1+Риски!$B$14)</f>
        <v>154.26579675650459</v>
      </c>
      <c r="AX26" s="114">
        <f>('Книга допущений'!$C196*'Книга допущений'!$D196*'План продаж'!AY$14+'Книга допущений'!$C204*'Книга допущений'!$D204*'План продаж'!AY$15+'Книга допущений'!$C209*'Книга допущений'!$D209*'План продаж'!AY$16)*'Книга допущений'!$B$19^Расходы!AX$10/1000*(1+Риски!$B$14)</f>
        <v>151.4375904826353</v>
      </c>
      <c r="AY26" s="114">
        <f>('Книга допущений'!$C196*'Книга допущений'!$D196*'План продаж'!AZ$14+'Книга допущений'!$C204*'Книга допущений'!$D204*'План продаж'!AZ$15+'Книга допущений'!$C209*'Книга допущений'!$D209*'План продаж'!AZ$16)*'Книга допущений'!$B$19^Расходы!AY$10/1000*(1+Риски!$B$14)</f>
        <v>107.9860577295532</v>
      </c>
      <c r="AZ26" s="114">
        <f>('Книга допущений'!$C196*'Книга допущений'!$D196*'План продаж'!BA$14+'Книга допущений'!$C204*'Книга допущений'!$D204*'План продаж'!BA$15+'Книга допущений'!$C209*'Книга допущений'!$D209*'План продаж'!BA$16)*'Книга допущений'!$B$19^Расходы!AZ$10/1000*(1+Риски!$B$14)</f>
        <v>231.14158547349606</v>
      </c>
      <c r="BA26" s="114">
        <f>('Книга допущений'!$C196*'Книга допущений'!$D196*'План продаж'!BB$14+'Книга допущений'!$C204*'Книга допущений'!$D204*'План продаж'!BB$15+'Книга допущений'!$C209*'Книга допущений'!$D209*'План продаж'!BB$16)*'Книга допущений'!$B$19^Расходы!BA$10/1000*(1+Риски!$B$14)</f>
        <v>132.62744766479224</v>
      </c>
      <c r="BB26" s="114">
        <f>('Книга допущений'!$C196*'Книга допущений'!$D196*'План продаж'!BC$14+'Книга допущений'!$C204*'Книга допущений'!$D204*'План продаж'!BC$15+'Книга допущений'!$C209*'Книга допущений'!$D209*'План продаж'!BC$16)*'Книга допущений'!$B$19^Расходы!BB$10/1000*(1+Риски!$B$14)</f>
        <v>104.81846670281966</v>
      </c>
      <c r="BC26" s="114">
        <f>('Книга допущений'!$C196*'Книга допущений'!$D196*'План продаж'!BD$14+'Книга допущений'!$C204*'Книга допущений'!$D204*'План продаж'!BD$15+'Книга допущений'!$C209*'Книга допущений'!$D209*'План продаж'!BD$16)*'Книга допущений'!$B$19^Расходы!BC$10/1000*(1+Риски!$B$14)</f>
        <v>132.62744766479224</v>
      </c>
      <c r="BD26" s="114">
        <f>('Книга допущений'!$C196*'Книга допущений'!$D196*'План продаж'!BE$14+'Книга допущений'!$C204*'Книга допущений'!$D204*'План продаж'!BE$15+'Книга допущений'!$C209*'Книга допущений'!$D209*'План продаж'!BE$16)*'Книга допущений'!$B$19^Расходы!BD$10/1000*(1+Риски!$B$14)</f>
        <v>112.30550003873533</v>
      </c>
      <c r="BE26" s="114">
        <f>('Книга допущений'!$C196*'Книга допущений'!$D196*'План продаж'!BF$14+'Книга допущений'!$C204*'Книга допущений'!$D204*'План продаж'!BF$15+'Книга допущений'!$C209*'Книга допущений'!$D209*'План продаж'!BF$16)*'Книга допущений'!$B$19^Расходы!BE$10/1000*(1+Риски!$B$14)</f>
        <v>165.78430958099028</v>
      </c>
      <c r="BF26" s="114">
        <f>('Книга допущений'!$C196*'Книга допущений'!$D196*'План продаж'!BG$14+'Книга допущений'!$C204*'Книга допущений'!$D204*'План продаж'!BG$15+'Книга допущений'!$C209*'Книга допущений'!$D209*'План продаж'!BG$16)*'Книга допущений'!$B$19^Расходы!BF$10/1000*(1+Риски!$B$14)</f>
        <v>192.52371435211774</v>
      </c>
      <c r="BG26" s="114">
        <f>('Книга допущений'!$C196*'Книга допущений'!$D196*'План продаж'!BH$14+'Книга допущений'!$C204*'Книга допущений'!$D204*'План продаж'!BH$15+'Книга допущений'!$C209*'Книга допущений'!$D209*'План продаж'!BH$16)*'Книга допущений'!$B$19^Расходы!BG$10/1000*(1+Риски!$B$14)</f>
        <v>232.09803341338639</v>
      </c>
      <c r="BH26" s="114">
        <f>('Книга допущений'!$C196*'Книга допущений'!$D196*'План продаж'!BI$14+'Книга допущений'!$C204*'Книга допущений'!$D204*'План продаж'!BI$15+'Книга допущений'!$C209*'Книга допущений'!$D209*'План продаж'!BI$16)*'Книга допущений'!$B$19^Расходы!BH$10/1000*(1+Риски!$B$14)</f>
        <v>215.51960245528741</v>
      </c>
      <c r="BI26" s="114">
        <f>('Книга допущений'!$C196*'Книга допущений'!$D196*'План продаж'!BJ$14+'Книга допущений'!$C204*'Книга допущений'!$D204*'План продаж'!BJ$15+'Книга допущений'!$C209*'Книга допущений'!$D209*'План продаж'!BJ$16)*'Книга допущений'!$B$19^Расходы!BI$10/1000*(1+Риски!$B$14)</f>
        <v>160.43642862676481</v>
      </c>
      <c r="BJ26" s="114">
        <f>('Книга допущений'!$C196*'Книга допущений'!$D196*'План продаж'!BK$14+'Книга допущений'!$C204*'Книга допущений'!$D204*'План продаж'!BK$15+'Книга допущений'!$C209*'Книга допущений'!$D209*'План продаж'!BK$16)*'Книга допущений'!$B$19^Расходы!BJ$10/1000*(1+Риски!$B$14)</f>
        <v>157.49509410194074</v>
      </c>
      <c r="BK26" s="114">
        <f>('Книга допущений'!$C196*'Книга допущений'!$D196*'План продаж'!BL$14+'Книга допущений'!$C204*'Книга допущений'!$D204*'План продаж'!BL$15+'Книга допущений'!$C209*'Книга допущений'!$D209*'План продаж'!BL$16)*'Книга допущений'!$B$19^Расходы!BK$10/1000*(1+Риски!$B$14)</f>
        <v>112.30550003873533</v>
      </c>
      <c r="BL26" s="114">
        <f>('Книга допущений'!$C196*'Книга допущений'!$D196*'План продаж'!BM$14+'Книга допущений'!$C204*'Книга допущений'!$D204*'План продаж'!BM$15+'Книга допущений'!$C209*'Книга допущений'!$D209*'План продаж'!BM$16)*'Книга допущений'!$B$19^Расходы!BL$10/1000*(1+Риски!$B$14)</f>
        <v>240.38724889243593</v>
      </c>
      <c r="BM26" s="114">
        <f>('Книга допущений'!$C196*'Книга допущений'!$D196*'План продаж'!BN$14+'Книга допущений'!$C204*'Книга допущений'!$D204*'План продаж'!BN$15+'Книга допущений'!$C209*'Книга допущений'!$D209*'План продаж'!BN$16)*'Книга допущений'!$B$19^Расходы!BM$10/1000*(1+Риски!$B$14)</f>
        <v>137.93254557138394</v>
      </c>
      <c r="BN26" s="114">
        <f>('Книга допущений'!$C196*'Книга допущений'!$D196*'План продаж'!BO$14+'Книга допущений'!$C204*'Книга допущений'!$D204*'План продаж'!BO$15+'Книга допущений'!$C209*'Книга допущений'!$D209*'План продаж'!BO$16)*'Книга допущений'!$B$19^Расходы!BN$10/1000*(1+Риски!$B$14)</f>
        <v>109.01120537093246</v>
      </c>
      <c r="BO26" s="114">
        <f>('Книга допущений'!$C196*'Книга допущений'!$D196*'План продаж'!BP$14+'Книга допущений'!$C204*'Книга допущений'!$D204*'План продаж'!BP$15+'Книга допущений'!$C209*'Книга допущений'!$D209*'План продаж'!BP$16)*'Книга допущений'!$B$19^Расходы!BO$10/1000*(1+Риски!$B$14)</f>
        <v>137.93254557138394</v>
      </c>
      <c r="BP26" s="114">
        <f>('Книга допущений'!$C196*'Книга допущений'!$D196*'План продаж'!BQ$14+'Книга допущений'!$C204*'Книга допущений'!$D204*'План продаж'!BQ$15+'Книга допущений'!$C209*'Книга допущений'!$D209*'План продаж'!BQ$16)*'Книга допущений'!$B$19^Расходы!BP$10/1000*(1+Риски!$B$14)</f>
        <v>116.79772004028476</v>
      </c>
      <c r="BQ26" s="114">
        <f>('Книга допущений'!$C196*'Книга допущений'!$D196*'План продаж'!BR$14+'Книга допущений'!$C204*'Книга допущений'!$D204*'План продаж'!BR$15+'Книга допущений'!$C209*'Книга допущений'!$D209*'План продаж'!BR$16)*'Книга допущений'!$B$19^Расходы!BQ$10/1000*(1+Риски!$B$14)</f>
        <v>172.41568196422992</v>
      </c>
      <c r="BR26" s="114">
        <f>('Книга допущений'!$C196*'Книга допущений'!$D196*'План продаж'!BS$14+'Книга допущений'!$C204*'Книга допущений'!$D204*'План продаж'!BS$15+'Книга допущений'!$C209*'Книга допущений'!$D209*'План продаж'!BS$16)*'Книга допущений'!$B$19^Расходы!BR$10/1000*(1+Риски!$B$14)</f>
        <v>200.22466292620243</v>
      </c>
      <c r="BS26" s="114">
        <f>('Книга допущений'!$C196*'Книга допущений'!$D196*'План продаж'!BT$14+'Книга допущений'!$C204*'Книга допущений'!$D204*'План продаж'!BT$15+'Книга допущений'!$C209*'Книга допущений'!$D209*'План продаж'!BT$16)*'Книга допущений'!$B$19^Расходы!BS$10/1000*(1+Риски!$B$14)</f>
        <v>241.38195474992187</v>
      </c>
      <c r="BT26" s="114">
        <f>('Книга допущений'!$C196*'Книга допущений'!$D196*'План продаж'!BU$14+'Книга допущений'!$C204*'Книга допущений'!$D204*'План продаж'!BU$15+'Книга допущений'!$C209*'Книга допущений'!$D209*'План продаж'!BU$16)*'Книга допущений'!$B$19^Расходы!BT$10/1000*(1+Риски!$B$14)</f>
        <v>224.14038655349893</v>
      </c>
      <c r="BU26" s="114">
        <f>('Книга допущений'!$C196*'Книга допущений'!$D196*'План продаж'!BV$14+'Книга допущений'!$C204*'Книга допущений'!$D204*'План продаж'!BV$15+'Книга допущений'!$C209*'Книга допущений'!$D209*'План продаж'!BV$16)*'Книга допущений'!$B$19^Расходы!BU$10/1000*(1+Риски!$B$14)</f>
        <v>166.85388577183539</v>
      </c>
      <c r="BV26" s="114">
        <f>('Книга допущений'!$C196*'Книга допущений'!$D196*'План продаж'!BW$14+'Книга допущений'!$C204*'Книга допущений'!$D204*'План продаж'!BW$15+'Книга допущений'!$C209*'Книга допущений'!$D209*'План продаж'!BW$16)*'Книга допущений'!$B$19^Расходы!BV$10/1000*(1+Риски!$B$14)</f>
        <v>163.79489786601837</v>
      </c>
      <c r="BW26" s="114">
        <f>('Книга допущений'!$C196*'Книга допущений'!$D196*'План продаж'!BX$14+'Книга допущений'!$C204*'Книга допущений'!$D204*'План продаж'!BX$15+'Книга допущений'!$C209*'Книга допущений'!$D209*'План продаж'!BX$16)*'Книга допущений'!$B$19^Расходы!BW$10/1000*(1+Риски!$B$14)</f>
        <v>116.79772004028476</v>
      </c>
      <c r="BX26" s="114">
        <f>('Книга допущений'!$C196*'Книга допущений'!$D196*'План продаж'!BY$14+'Книга допущений'!$C204*'Книга допущений'!$D204*'План продаж'!BY$15+'Книга допущений'!$C209*'Книга допущений'!$D209*'План продаж'!BY$16)*'Книга допущений'!$B$19^Расходы!BX$10/1000*(1+Риски!$B$14)</f>
        <v>250.00273884813336</v>
      </c>
    </row>
    <row r="27" spans="1:76" s="43" customFormat="1" x14ac:dyDescent="0.25">
      <c r="A27" s="157" t="str">
        <f>'Книга допущений'!A197</f>
        <v>Вывоз мусора</v>
      </c>
      <c r="B27" s="114">
        <f>('Книга допущений'!$C197*'Книга допущений'!$D197*'План продаж'!C$14)*'Книга допущений'!$B$19^Расходы!B$10/1000*(1+Риски!$B$14)</f>
        <v>0</v>
      </c>
      <c r="C27" s="114">
        <f>('Книга допущений'!$C197*'Книга допущений'!$D197*'План продаж'!D$14)*'Книга допущений'!$B$19^Расходы!C$10/1000*(1+Риски!$B$14)</f>
        <v>0</v>
      </c>
      <c r="D27" s="114">
        <f>('Книга допущений'!$C197*'Книга допущений'!$D197*'План продаж'!E$14)*'Книга допущений'!$B$19^Расходы!D$10/1000*(1+Риски!$B$14)</f>
        <v>0</v>
      </c>
      <c r="E27" s="114">
        <f>('Книга допущений'!$C197*'Книга допущений'!$D197*'План продаж'!F$14)*'Книга допущений'!$B$19^Расходы!E$10/1000*(1+Риски!$B$14)</f>
        <v>0</v>
      </c>
      <c r="F27" s="114">
        <f>('Книга допущений'!$C197*'Книга допущений'!$D197*'План продаж'!G$14)*'Книга допущений'!$B$19^Расходы!F$10/1000*(1+Риски!$B$14)</f>
        <v>0</v>
      </c>
      <c r="G27" s="114">
        <f>('Книга допущений'!$C197*'Книга допущений'!$D197*'План продаж'!H$14)*'Книга допущений'!$B$19^Расходы!G$10/1000*(1+Риски!$B$14)</f>
        <v>0</v>
      </c>
      <c r="H27" s="114">
        <f>('Книга допущений'!$C197*'Книга допущений'!$D197*'План продаж'!I$14)*'Книга допущений'!$B$19^Расходы!H$10/1000*(1+Риски!$B$14)</f>
        <v>0</v>
      </c>
      <c r="I27" s="114">
        <f>('Книга допущений'!$C197*'Книга допущений'!$D197*'План продаж'!J$14)*'Книга допущений'!$B$19^Расходы!I$10/1000*(1+Риски!$B$14)</f>
        <v>0</v>
      </c>
      <c r="J27" s="114">
        <f>('Книга допущений'!$C197*'Книга допущений'!$D197*'План продаж'!K$14)*'Книга допущений'!$B$19^Расходы!J$10/1000*(1+Риски!$B$14)</f>
        <v>0</v>
      </c>
      <c r="K27" s="114">
        <f>('Книга допущений'!$C197*'Книга допущений'!$D197*'План продаж'!L$14)*'Книга допущений'!$B$19^Расходы!K$10/1000*(1+Риски!$B$14)</f>
        <v>3.4508999616000002</v>
      </c>
      <c r="L27" s="114">
        <f>('Книга допущений'!$C197*'Книга допущений'!$D197*'План продаж'!M$14)*'Книга допущений'!$B$19^Расходы!L$10/1000*(1+Риски!$B$14)</f>
        <v>3.5248478179200013</v>
      </c>
      <c r="M27" s="114">
        <f>('Книга допущений'!$C197*'Книга допущений'!$D197*'План продаж'!N$14)*'Книга допущений'!$B$19^Расходы!M$10/1000*(1+Риски!$B$14)</f>
        <v>2.8624976640000015</v>
      </c>
      <c r="N27" s="114">
        <f>('Книга допущений'!$C197*'Книга допущений'!$D197*'План продаж'!O$14)*'Книга допущений'!$B$19^Расходы!N$10/1000*(1+Риски!$B$14)</f>
        <v>3.0441867518400008</v>
      </c>
      <c r="O27" s="114">
        <f>('Книга допущений'!$C197*'Книга допущений'!$D197*'План продаж'!P$14)*'Книга допущений'!$B$19^Расходы!O$10/1000*(1+Риски!$B$14)</f>
        <v>2.3377064256000009</v>
      </c>
      <c r="P27" s="114">
        <f>('Книга допущений'!$C197*'Книга допущений'!$D197*'План продаж'!Q$14)*'Книга допущений'!$B$19^Расходы!P$10/1000*(1+Риски!$B$14)</f>
        <v>5.3612195832000031</v>
      </c>
      <c r="Q27" s="114">
        <f>('Книга допущений'!$C197*'Книга допущений'!$D197*'План продаж'!R$14)*'Книга допущений'!$B$19^Расходы!Q$10/1000*(1+Риски!$B$14)</f>
        <v>3.2813128777728022</v>
      </c>
      <c r="R27" s="114">
        <f>('Книга допущений'!$C197*'Книга допущений'!$D197*'План продаж'!S$14)*'Книга допущений'!$B$19^Расходы!R$10/1000*(1+Риски!$B$14)</f>
        <v>2.755376640307202</v>
      </c>
      <c r="S27" s="114">
        <f>('Книга допущений'!$C197*'Книга допущений'!$D197*'План продаж'!T$14)*'Книга допущений'!$B$19^Расходы!S$10/1000*(1+Риски!$B$14)</f>
        <v>3.6914769874944033</v>
      </c>
      <c r="T27" s="114">
        <f>('Книга допущений'!$C197*'Книга допущений'!$D197*'План продаж'!U$14)*'Книга допущений'!$B$19^Расходы!T$10/1000*(1+Риски!$B$14)</f>
        <v>3.2995056407040013</v>
      </c>
      <c r="U27" s="114">
        <f>('Книга допущений'!$C197*'Книга допущений'!$D197*'План продаж'!V$14)*'Книга допущений'!$B$19^Расходы!U$10/1000*(1+Риски!$B$14)</f>
        <v>5.1270513715200039</v>
      </c>
      <c r="V27" s="114">
        <f>('Книга допущений'!$C197*'Книга допущений'!$D197*'План продаж'!W$14)*'Книга допущений'!$B$19^Расходы!V$10/1000*(1+Риски!$B$14)</f>
        <v>5.9539951411200018</v>
      </c>
      <c r="W27" s="114">
        <f>('Книга допущений'!$C197*'Книга допущений'!$D197*'План продаж'!X$14)*'Книга допущений'!$B$19^Расходы!W$10/1000*(1+Риски!$B$14)</f>
        <v>7.177871920128001</v>
      </c>
      <c r="X27" s="114">
        <f>('Книга допущений'!$C197*'Книга допущений'!$D197*'План продаж'!Y$14)*'Книга допущений'!$B$19^Расходы!X$10/1000*(1+Риски!$B$14)</f>
        <v>6.6651667829760024</v>
      </c>
      <c r="Y27" s="114">
        <f>('Книга допущений'!$C197*'Книга допущений'!$D197*'План продаж'!Z$14)*'Книга допущений'!$B$19^Расходы!Y$10/1000*(1+Риски!$B$14)</f>
        <v>4.9616626176000009</v>
      </c>
      <c r="Z27" s="114">
        <f>('Книга допущений'!$C197*'Книга допущений'!$D197*'План продаж'!AA$14)*'Книга допущений'!$B$19^Расходы!Z$10/1000*(1+Риски!$B$14)</f>
        <v>4.870698802944001</v>
      </c>
      <c r="AA27" s="114">
        <f>('Книга допущений'!$C197*'Книга допущений'!$D197*'План продаж'!AB$14)*'Книга допущений'!$B$19^Расходы!AA$10/1000*(1+Риски!$B$14)</f>
        <v>3.4731638323200005</v>
      </c>
      <c r="AB27" s="114">
        <f>('Книга допущений'!$C197*'Книга допущений'!$D197*'План продаж'!AC$14)*'Книга допущений'!$B$19^Расходы!AB$10/1000*(1+Риски!$B$14)</f>
        <v>7.4342244887040012</v>
      </c>
      <c r="AC27" s="114">
        <f>('Книга допущений'!$C197*'Книга допущений'!$D197*'План продаж'!AD$14)*'Книга допущений'!$B$19^Расходы!AC$10/1000*(1+Риски!$B$14)</f>
        <v>4.2657067411046405</v>
      </c>
      <c r="AD27" s="114">
        <f>('Книга допущений'!$C197*'Книга допущений'!$D197*'План продаж'!AE$14)*'Книга допущений'!$B$19^Расходы!AD$10/1000*(1+Риски!$B$14)</f>
        <v>3.3712843599052804</v>
      </c>
      <c r="AE27" s="114">
        <f>('Книга допущений'!$C197*'Книга допущений'!$D197*'План продаж'!AF$14)*'Книга допущений'!$B$19^Расходы!AE$10/1000*(1+Риски!$B$14)</f>
        <v>4.2657067411046405</v>
      </c>
      <c r="AF27" s="114">
        <f>('Книга допущений'!$C197*'Книга допущений'!$D197*'План продаж'!AG$14)*'Книга допущений'!$B$19^Расходы!AF$10/1000*(1+Риски!$B$14)</f>
        <v>3.6120903856128006</v>
      </c>
      <c r="AG27" s="114">
        <f>('Книга допущений'!$C197*'Книга допущений'!$D197*'План продаж'!AH$14)*'Книга допущений'!$B$19^Расходы!AG$10/1000*(1+Риски!$B$14)</f>
        <v>5.3321334263808016</v>
      </c>
      <c r="AH27" s="114">
        <f>('Книга допущений'!$C197*'Книга допущений'!$D197*'План продаж'!AI$14)*'Книга допущений'!$B$19^Расходы!AH$10/1000*(1+Риски!$B$14)</f>
        <v>6.192154946764802</v>
      </c>
      <c r="AI27" s="114">
        <f>('Книга допущений'!$C197*'Книга допущений'!$D197*'План продаж'!AJ$14)*'Книга допущений'!$B$19^Расходы!AI$10/1000*(1+Риски!$B$14)</f>
        <v>7.4649867969331209</v>
      </c>
      <c r="AJ27" s="114">
        <f>('Книга допущений'!$C197*'Книга допущений'!$D197*'План продаж'!AK$14)*'Книга допущений'!$B$19^Расходы!AJ$10/1000*(1+Риски!$B$14)</f>
        <v>6.9317734542950422</v>
      </c>
      <c r="AK27" s="114">
        <f>('Книга допущений'!$C197*'Книга допущений'!$D197*'План продаж'!AL$14)*'Книга допущений'!$B$19^Расходы!AK$10/1000*(1+Риски!$B$14)</f>
        <v>5.1601291223040011</v>
      </c>
      <c r="AL27" s="114">
        <f>('Книга допущений'!$C197*'Книга допущений'!$D197*'План продаж'!AM$14)*'Книга допущений'!$B$19^Расходы!AL$10/1000*(1+Риски!$B$14)</f>
        <v>5.0655267550617609</v>
      </c>
      <c r="AM27" s="114">
        <f>('Книга допущений'!$C197*'Книга допущений'!$D197*'План продаж'!AN$14)*'Книга допущений'!$B$19^Расходы!AM$10/1000*(1+Риски!$B$14)</f>
        <v>3.6120903856128006</v>
      </c>
      <c r="AN27" s="114">
        <f>('Книга допущений'!$C197*'Книга допущений'!$D197*'План продаж'!AO$14)*'Книга допущений'!$B$19^Расходы!AN$10/1000*(1+Риски!$B$14)</f>
        <v>7.7315934682521616</v>
      </c>
      <c r="AO27" s="114">
        <f>('Книга допущений'!$C197*'Книга допущений'!$D197*'План продаж'!AP$14)*'Книга допущений'!$B$19^Расходы!AO$10/1000*(1+Риски!$B$14)</f>
        <v>4.4363350107488273</v>
      </c>
      <c r="AP27" s="114">
        <f>('Книга допущений'!$C197*'Книга допущений'!$D197*'План продаж'!AQ$14)*'Книга допущений'!$B$19^Расходы!AP$10/1000*(1+Риски!$B$14)</f>
        <v>3.5061357343014921</v>
      </c>
      <c r="AQ27" s="114">
        <f>('Книга допущений'!$C197*'Книга допущений'!$D197*'План продаж'!AR$14)*'Книга допущений'!$B$19^Расходы!AQ$10/1000*(1+Риски!$B$14)</f>
        <v>4.4363350107488273</v>
      </c>
      <c r="AR27" s="114">
        <f>('Книга допущений'!$C197*'Книга допущений'!$D197*'План продаж'!AS$14)*'Книга допущений'!$B$19^Расходы!AR$10/1000*(1+Риски!$B$14)</f>
        <v>3.756574001037313</v>
      </c>
      <c r="AS27" s="114">
        <f>('Книга допущений'!$C197*'Книга допущений'!$D197*'План продаж'!AT$14)*'Книга допущений'!$B$19^Расходы!AS$10/1000*(1+Риски!$B$14)</f>
        <v>5.5454187634360341</v>
      </c>
      <c r="AT27" s="114">
        <f>('Книга допущений'!$C197*'Книга допущений'!$D197*'План продаж'!AU$14)*'Книга допущений'!$B$19^Расходы!AT$10/1000*(1+Риски!$B$14)</f>
        <v>6.4398411446353947</v>
      </c>
      <c r="AU27" s="114">
        <f>('Книга допущений'!$C197*'Книга допущений'!$D197*'План продаж'!AV$14)*'Книга допущений'!$B$19^Расходы!AU$10/1000*(1+Риски!$B$14)</f>
        <v>7.763586268810446</v>
      </c>
      <c r="AV27" s="114">
        <f>('Книга допущений'!$C197*'Книга допущений'!$D197*'План продаж'!AW$14)*'Книга допущений'!$B$19^Расходы!AV$10/1000*(1+Риски!$B$14)</f>
        <v>7.2090443924668453</v>
      </c>
      <c r="AW27" s="114">
        <f>('Книга допущений'!$C197*'Книга допущений'!$D197*'План продаж'!AX$14)*'Книга допущений'!$B$19^Расходы!AW$10/1000*(1+Риски!$B$14)</f>
        <v>5.3665342871961608</v>
      </c>
      <c r="AX27" s="114">
        <f>('Книга допущений'!$C197*'Книга допущений'!$D197*'План продаж'!AY$14)*'Книга допущений'!$B$19^Расходы!AX$10/1000*(1+Риски!$B$14)</f>
        <v>5.268147825264232</v>
      </c>
      <c r="AY27" s="114">
        <f>('Книга допущений'!$C197*'Книга допущений'!$D197*'План продаж'!AZ$14)*'Книга допущений'!$B$19^Расходы!AY$10/1000*(1+Риски!$B$14)</f>
        <v>3.756574001037313</v>
      </c>
      <c r="AZ27" s="114">
        <f>('Книга допущений'!$C197*'Книга допущений'!$D197*'План продаж'!BA$14)*'Книга допущений'!$B$19^Расходы!AZ$10/1000*(1+Риски!$B$14)</f>
        <v>8.040857206982249</v>
      </c>
      <c r="BA27" s="114">
        <f>('Книга допущений'!$C197*'Книга допущений'!$D197*'План продаж'!BB$14)*'Книга допущений'!$B$19^Расходы!BA$10/1000*(1+Риски!$B$14)</f>
        <v>4.6137884111787804</v>
      </c>
      <c r="BB27" s="114">
        <f>('Книга допущений'!$C197*'Книга допущений'!$D197*'План продаж'!BC$14)*'Книга допущений'!$B$19^Расходы!BB$10/1000*(1+Риски!$B$14)</f>
        <v>3.6463811636735524</v>
      </c>
      <c r="BC27" s="114">
        <f>('Книга допущений'!$C197*'Книга допущений'!$D197*'План продаж'!BD$14)*'Книга допущений'!$B$19^Расходы!BC$10/1000*(1+Риски!$B$14)</f>
        <v>4.6137884111787804</v>
      </c>
      <c r="BD27" s="114">
        <f>('Книга допущений'!$C197*'Книга допущений'!$D197*'План продаж'!BE$14)*'Книга допущений'!$B$19^Расходы!BD$10/1000*(1+Риски!$B$14)</f>
        <v>3.9068369610788061</v>
      </c>
      <c r="BE27" s="114">
        <f>('Книга допущений'!$C197*'Книга допущений'!$D197*'План продаж'!BF$14)*'Книга допущений'!$B$19^Расходы!BE$10/1000*(1+Риски!$B$14)</f>
        <v>5.7672355139734757</v>
      </c>
      <c r="BF27" s="114">
        <f>('Книга допущений'!$C197*'Книга допущений'!$D197*'План продаж'!BG$14)*'Книга допущений'!$B$19^Расходы!BF$10/1000*(1+Риски!$B$14)</f>
        <v>6.6974347904208109</v>
      </c>
      <c r="BG27" s="114">
        <f>('Книга допущений'!$C197*'Книга допущений'!$D197*'План продаж'!BH$14)*'Книга допущений'!$B$19^Расходы!BG$10/1000*(1+Риски!$B$14)</f>
        <v>8.0741297195628654</v>
      </c>
      <c r="BH27" s="114">
        <f>('Книга допущений'!$C197*'Книга допущений'!$D197*'План продаж'!BI$14)*'Книга допущений'!$B$19^Расходы!BH$10/1000*(1+Риски!$B$14)</f>
        <v>7.4974061681655195</v>
      </c>
      <c r="BI27" s="114">
        <f>('Книга допущений'!$C197*'Книга допущений'!$D197*'План продаж'!BJ$14)*'Книга допущений'!$B$19^Расходы!BI$10/1000*(1+Риски!$B$14)</f>
        <v>5.5811956586840079</v>
      </c>
      <c r="BJ27" s="114">
        <f>('Книга допущений'!$C197*'Книга допущений'!$D197*'План продаж'!BK$14)*'Книга допущений'!$B$19^Расходы!BJ$10/1000*(1+Риски!$B$14)</f>
        <v>5.4788737382748014</v>
      </c>
      <c r="BK27" s="114">
        <f>('Книга допущений'!$C197*'Книга допущений'!$D197*'План продаж'!BL$14)*'Книга допущений'!$B$19^Расходы!BK$10/1000*(1+Риски!$B$14)</f>
        <v>3.9068369610788061</v>
      </c>
      <c r="BL27" s="114">
        <f>('Книга допущений'!$C197*'Книга допущений'!$D197*'План продаж'!BM$14)*'Книга допущений'!$B$19^Расходы!BL$10/1000*(1+Риски!$B$14)</f>
        <v>8.3624914952615406</v>
      </c>
      <c r="BM27" s="114">
        <f>('Книга допущений'!$C197*'Книга допущений'!$D197*'План продаж'!BN$14)*'Книга допущений'!$B$19^Расходы!BM$10/1000*(1+Риски!$B$14)</f>
        <v>4.7983399476259319</v>
      </c>
      <c r="BN27" s="114">
        <f>('Книга допущений'!$C197*'Книга допущений'!$D197*'План продаж'!BO$14)*'Книга допущений'!$B$19^Расходы!BN$10/1000*(1+Риски!$B$14)</f>
        <v>3.7922364102204944</v>
      </c>
      <c r="BO27" s="114">
        <f>('Книга допущений'!$C197*'Книга допущений'!$D197*'План продаж'!BP$14)*'Книга допущений'!$B$19^Расходы!BO$10/1000*(1+Риски!$B$14)</f>
        <v>4.7983399476259319</v>
      </c>
      <c r="BP27" s="114">
        <f>('Книга допущений'!$C197*'Книга допущений'!$D197*'План продаж'!BQ$14)*'Книга допущений'!$B$19^Расходы!BP$10/1000*(1+Риски!$B$14)</f>
        <v>4.0631104395219584</v>
      </c>
      <c r="BQ27" s="114">
        <f>('Книга допущений'!$C197*'Книга допущений'!$D197*'План продаж'!BR$14)*'Книга допущений'!$B$19^Расходы!BQ$10/1000*(1+Риски!$B$14)</f>
        <v>5.9979249345324153</v>
      </c>
      <c r="BR27" s="114">
        <f>('Книга допущений'!$C197*'Книга допущений'!$D197*'План продаж'!BS$14)*'Книга допущений'!$B$19^Расходы!BR$10/1000*(1+Риски!$B$14)</f>
        <v>6.9653321820376428</v>
      </c>
      <c r="BS27" s="114">
        <f>('Книга допущений'!$C197*'Книга допущений'!$D197*'План продаж'!BT$14)*'Книга допущений'!$B$19^Расходы!BS$10/1000*(1+Риски!$B$14)</f>
        <v>8.3970949083453803</v>
      </c>
      <c r="BT27" s="114">
        <f>('Книга допущений'!$C197*'Книга допущений'!$D197*'План продаж'!BU$14)*'Книга допущений'!$B$19^Расходы!BT$10/1000*(1+Риски!$B$14)</f>
        <v>7.7973024148921404</v>
      </c>
      <c r="BU27" s="114">
        <f>('Книга допущений'!$C197*'Книга допущений'!$D197*'План продаж'!BV$14)*'Книга допущений'!$B$19^Расходы!BU$10/1000*(1+Риски!$B$14)</f>
        <v>5.804443485031368</v>
      </c>
      <c r="BV27" s="114">
        <f>('Книга допущений'!$C197*'Книга допущений'!$D197*'План продаж'!BW$14)*'Книга допущений'!$B$19^Расходы!BV$10/1000*(1+Риски!$B$14)</f>
        <v>5.6980286878057935</v>
      </c>
      <c r="BW27" s="114">
        <f>('Книга допущений'!$C197*'Книга допущений'!$D197*'План продаж'!BX$14)*'Книга допущений'!$B$19^Расходы!BW$10/1000*(1+Риски!$B$14)</f>
        <v>4.0631104395219584</v>
      </c>
      <c r="BX27" s="114">
        <f>('Книга допущений'!$C197*'Книга допущений'!$D197*'План продаж'!BY$14)*'Книга допущений'!$B$19^Расходы!BX$10/1000*(1+Риски!$B$14)</f>
        <v>8.6969911550720003</v>
      </c>
    </row>
    <row r="28" spans="1:76" s="43" customFormat="1" x14ac:dyDescent="0.25">
      <c r="A28" s="157" t="str">
        <f>'Книга допущений'!A198</f>
        <v>Эксплуатационные расходы</v>
      </c>
      <c r="B28" s="114">
        <f>('Книга допущений'!$C198*'Книга допущений'!$D198*'План продаж'!C$14)*'Книга допущений'!$B$19^Расходы!B$10/1000</f>
        <v>0</v>
      </c>
      <c r="C28" s="114">
        <f>('Книга допущений'!$C198*'Книга допущений'!$D198*'План продаж'!D$14)*'Книга допущений'!$B$19^Расходы!C$10/1000</f>
        <v>0</v>
      </c>
      <c r="D28" s="114">
        <f>('Книга допущений'!$C198*'Книга допущений'!$D198*'План продаж'!E$14)*'Книга допущений'!$B$19^Расходы!D$10/1000</f>
        <v>0</v>
      </c>
      <c r="E28" s="114">
        <f>('Книга допущений'!$C198*'Книга допущений'!$D198*'План продаж'!F$14)*'Книга допущений'!$B$19^Расходы!E$10/1000</f>
        <v>0</v>
      </c>
      <c r="F28" s="114">
        <f>('Книга допущений'!$C198*'Книга допущений'!$D198*'План продаж'!G$14)*'Книга допущений'!$B$19^Расходы!F$10/1000</f>
        <v>0</v>
      </c>
      <c r="G28" s="114">
        <f>('Книга допущений'!$C198*'Книга допущений'!$D198*'План продаж'!H$14)*'Книга допущений'!$B$19^Расходы!G$10/1000</f>
        <v>0</v>
      </c>
      <c r="H28" s="114">
        <f>('Книга допущений'!$C198*'Книга допущений'!$D198*'План продаж'!I$14)*'Книга допущений'!$B$19^Расходы!H$10/1000</f>
        <v>0</v>
      </c>
      <c r="I28" s="114">
        <f>('Книга допущений'!$C198*'Книга допущений'!$D198*'План продаж'!J$14)*'Книга допущений'!$B$19^Расходы!I$10/1000</f>
        <v>0</v>
      </c>
      <c r="J28" s="114">
        <f>('Книга допущений'!$C198*'Книга допущений'!$D198*'План продаж'!K$14)*'Книга допущений'!$B$19^Расходы!J$10/1000</f>
        <v>0</v>
      </c>
      <c r="K28" s="114">
        <f>('Книга допущений'!$C198*'Книга допущений'!$D198*'План продаж'!L$14)*'Книга допущений'!$B$19^Расходы!K$10/1000</f>
        <v>201.70267353599999</v>
      </c>
      <c r="L28" s="114">
        <f>('Книга допущений'!$C198*'Книга допущений'!$D198*'План продаж'!M$14)*'Книга допущений'!$B$19^Расходы!L$10/1000</f>
        <v>206.02487368320004</v>
      </c>
      <c r="M28" s="114">
        <f>('Книга допущений'!$C198*'Книга допущений'!$D198*'План продаж'!N$14)*'Книга допущений'!$B$19^Расходы!M$10/1000</f>
        <v>167.31097344000003</v>
      </c>
      <c r="N28" s="114">
        <f>('Книга допущений'!$C198*'Книга допущений'!$D198*'План продаж'!O$14)*'Книга допущений'!$B$19^Расходы!N$10/1000</f>
        <v>177.93057272640002</v>
      </c>
      <c r="O28" s="114">
        <f>('Книга допущений'!$C198*'Книга допущений'!$D198*'План продаж'!P$14)*'Книга допущений'!$B$19^Расходы!O$10/1000</f>
        <v>136.63729497600002</v>
      </c>
      <c r="P28" s="114">
        <f>('Книга допущений'!$C198*'Книга допущений'!$D198*'План продаж'!Q$14)*'Книга допущений'!$B$19^Расходы!P$10/1000</f>
        <v>313.35951067200011</v>
      </c>
      <c r="Q28" s="114">
        <f>('Книга допущений'!$C198*'Книга допущений'!$D198*'План продаж'!R$14)*'Книга допущений'!$B$19^Расходы!Q$10/1000</f>
        <v>191.79042786508811</v>
      </c>
      <c r="R28" s="114">
        <f>('Книга допущений'!$C198*'Книга допущений'!$D198*'План продаж'!S$14)*'Книга допущений'!$B$19^Расходы!R$10/1000</f>
        <v>161.04982501171207</v>
      </c>
      <c r="S28" s="114">
        <f>('Книга допущений'!$C198*'Книга допущений'!$D198*'План продаж'!T$14)*'Книга допущений'!$B$19^Расходы!S$10/1000</f>
        <v>215.76423134822409</v>
      </c>
      <c r="T28" s="114">
        <f>('Книга допущений'!$C198*'Книга допущений'!$D198*'План продаж'!U$14)*'Книга допущений'!$B$19^Расходы!T$10/1000</f>
        <v>192.85378205184003</v>
      </c>
      <c r="U28" s="114">
        <f>('Книга допущений'!$C198*'Книга допущений'!$D198*'План продаж'!V$14)*'Книга допущений'!$B$19^Расходы!U$10/1000</f>
        <v>299.67254353920021</v>
      </c>
      <c r="V28" s="114">
        <f>('Книга допущений'!$C198*'Книга допущений'!$D198*'План продаж'!W$14)*'Книга допущений'!$B$19^Расходы!V$10/1000</f>
        <v>348.0068247552</v>
      </c>
      <c r="W28" s="114">
        <f>('Книга допущений'!$C198*'Книга допущений'!$D198*'План продаж'!X$14)*'Книга допущений'!$B$19^Расходы!W$10/1000</f>
        <v>419.54156095488003</v>
      </c>
      <c r="X28" s="114">
        <f>('Книга допущений'!$C198*'Книга допущений'!$D198*'План продаж'!Y$14)*'Книга допущений'!$B$19^Расходы!X$10/1000</f>
        <v>389.57430660096003</v>
      </c>
      <c r="Y28" s="114">
        <f>('Книга допущений'!$C198*'Книга допущений'!$D198*'План продаж'!Z$14)*'Книга допущений'!$B$19^Расходы!Y$10/1000</f>
        <v>290.00568729600002</v>
      </c>
      <c r="Z28" s="114">
        <f>('Книга допущений'!$C198*'Книга допущений'!$D198*'План продаж'!AA$14)*'Книга допущений'!$B$19^Расходы!Z$10/1000</f>
        <v>284.68891636223998</v>
      </c>
      <c r="AA28" s="114">
        <f>('Книга допущений'!$C198*'Книга допущений'!$D198*'План продаж'!AB$14)*'Книга допущений'!$B$19^Расходы!AA$10/1000</f>
        <v>203.00398110719999</v>
      </c>
      <c r="AB28" s="114">
        <f>('Книга допущений'!$C198*'Книга допущений'!$D198*'План продаж'!AC$14)*'Книга допущений'!$B$19^Расходы!AB$10/1000</f>
        <v>434.52518813184003</v>
      </c>
      <c r="AC28" s="114">
        <f>('Книга допущений'!$C198*'Книга допущений'!$D198*'План продаж'!AD$14)*'Книга допущений'!$B$19^Расходы!AC$10/1000</f>
        <v>249.32755622461443</v>
      </c>
      <c r="AD28" s="114">
        <f>('Книга допущений'!$C198*'Книга допущений'!$D198*'План продаж'!AE$14)*'Книга допущений'!$B$19^Расходы!AD$10/1000</f>
        <v>197.04919766138877</v>
      </c>
      <c r="AE28" s="114">
        <f>('Книга допущений'!$C198*'Книга допущений'!$D198*'План продаж'!AF$14)*'Книга допущений'!$B$19^Расходы!AE$10/1000</f>
        <v>249.32755622461443</v>
      </c>
      <c r="AF28" s="114">
        <f>('Книга допущений'!$C198*'Книга допущений'!$D198*'План продаж'!AG$14)*'Книга допущений'!$B$19^Расходы!AF$10/1000</f>
        <v>211.12414035148799</v>
      </c>
      <c r="AG28" s="114">
        <f>('Книга допущений'!$C198*'Книга допущений'!$D198*'План продаж'!AH$14)*'Книга допущений'!$B$19^Расходы!AG$10/1000</f>
        <v>311.65944528076795</v>
      </c>
      <c r="AH28" s="114">
        <f>('Книга допущений'!$C198*'Книга допущений'!$D198*'План продаж'!AI$14)*'Книга допущений'!$B$19^Расходы!AH$10/1000</f>
        <v>361.92709774540799</v>
      </c>
      <c r="AI28" s="114">
        <f>('Книга допущений'!$C198*'Книга допущений'!$D198*'План продаж'!AJ$14)*'Книга допущений'!$B$19^Расходы!AI$10/1000</f>
        <v>436.32322339307524</v>
      </c>
      <c r="AJ28" s="114">
        <f>('Книга допущений'!$C198*'Книга допущений'!$D198*'План продаж'!AK$14)*'Книга допущений'!$B$19^Расходы!AJ$10/1000</f>
        <v>405.15727886499843</v>
      </c>
      <c r="AK28" s="114">
        <f>('Книга допущений'!$C198*'Книга допущений'!$D198*'План продаж'!AL$14)*'Книга допущений'!$B$19^Расходы!AK$10/1000</f>
        <v>301.60591478784005</v>
      </c>
      <c r="AL28" s="114">
        <f>('Книга допущений'!$C198*'Книга допущений'!$D198*'План продаж'!AM$14)*'Книга допущений'!$B$19^Расходы!AL$10/1000</f>
        <v>296.07647301672955</v>
      </c>
      <c r="AM28" s="114">
        <f>('Книга допущений'!$C198*'Книга допущений'!$D198*'План продаж'!AN$14)*'Книга допущений'!$B$19^Расходы!AM$10/1000</f>
        <v>211.12414035148799</v>
      </c>
      <c r="AN28" s="114">
        <f>('Книга допущений'!$C198*'Книга допущений'!$D198*'План продаж'!AO$14)*'Книга допущений'!$B$19^Расходы!AN$10/1000</f>
        <v>451.90619565711359</v>
      </c>
      <c r="AO28" s="114">
        <f>('Книга допущений'!$C198*'Книга допущений'!$D198*'План продаж'!AP$14)*'Книга допущений'!$B$19^Расходы!AO$10/1000</f>
        <v>259.30065847359901</v>
      </c>
      <c r="AP28" s="114">
        <f>('Книга допущений'!$C198*'Книга допущений'!$D198*'План продаж'!AQ$14)*'Книга допущений'!$B$19^Расходы!AP$10/1000</f>
        <v>204.93116556784437</v>
      </c>
      <c r="AQ28" s="114">
        <f>('Книга допущений'!$C198*'Книга допущений'!$D198*'План продаж'!AR$14)*'Книга допущений'!$B$19^Расходы!AQ$10/1000</f>
        <v>259.30065847359901</v>
      </c>
      <c r="AR28" s="114">
        <f>('Книга допущений'!$C198*'Книга допущений'!$D198*'План продаж'!AS$14)*'Книга допущений'!$B$19^Расходы!AR$10/1000</f>
        <v>219.56910596554752</v>
      </c>
      <c r="AS28" s="114">
        <f>('Книга допущений'!$C198*'Книга допущений'!$D198*'План продаж'!AT$14)*'Книга допущений'!$B$19^Расходы!AS$10/1000</f>
        <v>324.12582309199877</v>
      </c>
      <c r="AT28" s="114">
        <f>('Книга допущений'!$C198*'Книга допущений'!$D198*'План продаж'!AU$14)*'Книга допущений'!$B$19^Расходы!AT$10/1000</f>
        <v>376.40418165522436</v>
      </c>
      <c r="AU28" s="114">
        <f>('Книга допущений'!$C198*'Книга допущений'!$D198*'План продаж'!AV$14)*'Книга допущений'!$B$19^Расходы!AU$10/1000</f>
        <v>453.77615232879828</v>
      </c>
      <c r="AV28" s="114">
        <f>('Книга допущений'!$C198*'Книга допущений'!$D198*'План продаж'!AW$14)*'Книга допущений'!$B$19^Расходы!AV$10/1000</f>
        <v>421.3635700195984</v>
      </c>
      <c r="AW28" s="114">
        <f>('Книга допущений'!$C198*'Книга допущений'!$D198*'План продаж'!AX$14)*'Книга допущений'!$B$19^Расходы!AW$10/1000</f>
        <v>313.67015137935368</v>
      </c>
      <c r="AX28" s="114">
        <f>('Книга допущений'!$C198*'Книга допущений'!$D198*'План продаж'!AY$14)*'Книга допущений'!$B$19^Расходы!AX$10/1000</f>
        <v>307.91953193739886</v>
      </c>
      <c r="AY28" s="114">
        <f>('Книга допущений'!$C198*'Книга допущений'!$D198*'План продаж'!AZ$14)*'Книга допущений'!$B$19^Расходы!AY$10/1000</f>
        <v>219.56910596554752</v>
      </c>
      <c r="AZ28" s="114">
        <f>('Книга допущений'!$C198*'Книга допущений'!$D198*'План продаж'!BA$14)*'Книга допущений'!$B$19^Расходы!AZ$10/1000</f>
        <v>469.98244348339819</v>
      </c>
      <c r="BA28" s="114">
        <f>('Книга допущений'!$C198*'Книга допущений'!$D198*'План продаж'!BB$14)*'Книга допущений'!$B$19^Расходы!BA$10/1000</f>
        <v>269.67268481254303</v>
      </c>
      <c r="BB28" s="114">
        <f>('Книга допущений'!$C198*'Книга допущений'!$D198*'План продаж'!BC$14)*'Книга допущений'!$B$19^Расходы!BB$10/1000</f>
        <v>213.12841219055815</v>
      </c>
      <c r="BC28" s="114">
        <f>('Книга допущений'!$C198*'Книга допущений'!$D198*'План продаж'!BD$14)*'Книга допущений'!$B$19^Расходы!BC$10/1000</f>
        <v>269.67268481254303</v>
      </c>
      <c r="BD28" s="114">
        <f>('Книга допущений'!$C198*'Книга допущений'!$D198*'План продаж'!BE$14)*'Книга допущений'!$B$19^Расходы!BD$10/1000</f>
        <v>228.35187020416944</v>
      </c>
      <c r="BE28" s="114">
        <f>('Книга допущений'!$C198*'Книга допущений'!$D198*'План продаж'!BF$14)*'Книга допущений'!$B$19^Расходы!BE$10/1000</f>
        <v>337.09085601567875</v>
      </c>
      <c r="BF28" s="114">
        <f>('Книга допущений'!$C198*'Книга допущений'!$D198*'План продаж'!BG$14)*'Книга допущений'!$B$19^Расходы!BF$10/1000</f>
        <v>391.46034892143336</v>
      </c>
      <c r="BG28" s="114">
        <f>('Книга допущений'!$C198*'Книга допущений'!$D198*'План продаж'!BH$14)*'Книга допущений'!$B$19^Расходы!BG$10/1000</f>
        <v>471.92719842195021</v>
      </c>
      <c r="BH28" s="114">
        <f>('Книга допущений'!$C198*'Книга допущений'!$D198*'План продаж'!BI$14)*'Книга допущений'!$B$19^Расходы!BH$10/1000</f>
        <v>438.21811282038243</v>
      </c>
      <c r="BI28" s="114">
        <f>('Книга допущений'!$C198*'Книга допущений'!$D198*'План продаж'!BJ$14)*'Книга допущений'!$B$19^Расходы!BI$10/1000</f>
        <v>326.21695743452779</v>
      </c>
      <c r="BJ28" s="114">
        <f>('Книга допущений'!$C198*'Книга допущений'!$D198*'План продаж'!BK$14)*'Книга допущений'!$B$19^Расходы!BJ$10/1000</f>
        <v>320.23631321489478</v>
      </c>
      <c r="BK28" s="114">
        <f>('Книга допущений'!$C198*'Книга допущений'!$D198*'План продаж'!BL$14)*'Книга допущений'!$B$19^Расходы!BK$10/1000</f>
        <v>228.35187020416944</v>
      </c>
      <c r="BL28" s="114">
        <f>('Книга допущений'!$C198*'Книга допущений'!$D198*'План продаж'!BM$14)*'Книга допущений'!$B$19^Расходы!BL$10/1000</f>
        <v>488.78174122273418</v>
      </c>
      <c r="BM28" s="114">
        <f>('Книга допущений'!$C198*'Книга допущений'!$D198*'План продаж'!BN$14)*'Книга допущений'!$B$19^Расходы!BM$10/1000</f>
        <v>280.45959220504477</v>
      </c>
      <c r="BN28" s="114">
        <f>('Книга допущений'!$C198*'Книга допущений'!$D198*'План продаж'!BO$14)*'Книга допущений'!$B$19^Расходы!BN$10/1000</f>
        <v>221.6535486781805</v>
      </c>
      <c r="BO28" s="114">
        <f>('Книга допущений'!$C198*'Книга допущений'!$D198*'План продаж'!BP$14)*'Книга допущений'!$B$19^Расходы!BO$10/1000</f>
        <v>280.45959220504477</v>
      </c>
      <c r="BP28" s="114">
        <f>('Книга допущений'!$C198*'Книга допущений'!$D198*'План продаж'!BQ$14)*'Книга допущений'!$B$19^Расходы!BP$10/1000</f>
        <v>237.48594501233626</v>
      </c>
      <c r="BQ28" s="114">
        <f>('Книга допущений'!$C198*'Книга допущений'!$D198*'План продаж'!BR$14)*'Книга допущений'!$B$19^Расходы!BQ$10/1000</f>
        <v>350.57449025630592</v>
      </c>
      <c r="BR28" s="114">
        <f>('Книга допущений'!$C198*'Книга допущений'!$D198*'План продаж'!BS$14)*'Книга допущений'!$B$19^Расходы!BR$10/1000</f>
        <v>407.11876287829074</v>
      </c>
      <c r="BS28" s="114">
        <f>('Книга допущений'!$C198*'Книга допущений'!$D198*'План продаж'!BT$14)*'Книга допущений'!$B$19^Расходы!BS$10/1000</f>
        <v>490.80428635882822</v>
      </c>
      <c r="BT28" s="114">
        <f>('Книга допущений'!$C198*'Книга допущений'!$D198*'План продаж'!BU$14)*'Книга допущений'!$B$19^Расходы!BT$10/1000</f>
        <v>455.74683733319773</v>
      </c>
      <c r="BU28" s="114">
        <f>('Книга допущений'!$C198*'Книга допущений'!$D198*'План продаж'!BV$14)*'Книга допущений'!$B$19^Расходы!BU$10/1000</f>
        <v>339.26563573190896</v>
      </c>
      <c r="BV28" s="114">
        <f>('Книга допущений'!$C198*'Книга допущений'!$D198*'План продаж'!BW$14)*'Книга допущений'!$B$19^Расходы!BV$10/1000</f>
        <v>333.04576574349062</v>
      </c>
      <c r="BW28" s="114">
        <f>('Книга допущений'!$C198*'Книга допущений'!$D198*'План продаж'!BX$14)*'Книга допущений'!$B$19^Расходы!BW$10/1000</f>
        <v>237.48594501233626</v>
      </c>
      <c r="BX28" s="114">
        <f>('Книга допущений'!$C198*'Книга допущений'!$D198*'План продаж'!BY$14)*'Книга допущений'!$B$19^Расходы!BX$10/1000</f>
        <v>508.33301087164352</v>
      </c>
    </row>
    <row r="29" spans="1:76" s="43" customFormat="1" x14ac:dyDescent="0.25">
      <c r="A29" s="157" t="str">
        <f>'Книга допущений'!A199</f>
        <v>Услуги сервисов бронирования</v>
      </c>
      <c r="B29" s="114">
        <f>('Книга допущений'!$C199*'Книга допущений'!$D199*'План продаж'!C$14)*'Книга допущений'!$B$19^Расходы!B$10/1000</f>
        <v>0</v>
      </c>
      <c r="C29" s="114">
        <f>('Книга допущений'!$C199*'Книга допущений'!$D199*'План продаж'!D$14)*'Книга допущений'!$B$19^Расходы!C$10/1000</f>
        <v>0</v>
      </c>
      <c r="D29" s="114">
        <f>('Книга допущений'!$C199*'Книга допущений'!$D199*'План продаж'!E$14)*'Книга допущений'!$B$19^Расходы!D$10/1000</f>
        <v>0</v>
      </c>
      <c r="E29" s="114">
        <f>('Книга допущений'!$C199*'Книга допущений'!$D199*'План продаж'!F$14)*'Книга допущений'!$B$19^Расходы!E$10/1000</f>
        <v>0</v>
      </c>
      <c r="F29" s="114">
        <f>('Книга допущений'!$C199*'Книга допущений'!$D199*'План продаж'!G$14)*'Книга допущений'!$B$19^Расходы!F$10/1000</f>
        <v>0</v>
      </c>
      <c r="G29" s="114">
        <f>('Книга допущений'!$C199*'Книга допущений'!$D199*'План продаж'!H$14)*'Книга допущений'!$B$19^Расходы!G$10/1000</f>
        <v>0</v>
      </c>
      <c r="H29" s="114">
        <f>('Книга допущений'!$C199*'Книга допущений'!$D199*'План продаж'!I$14)*'Книга допущений'!$B$19^Расходы!H$10/1000</f>
        <v>0</v>
      </c>
      <c r="I29" s="114">
        <f>('Книга допущений'!$C199*'Книга допущений'!$D199*'План продаж'!J$14)*'Книга допущений'!$B$19^Расходы!I$10/1000</f>
        <v>0</v>
      </c>
      <c r="J29" s="114">
        <f>('Книга допущений'!$C199*'Книга допущений'!$D199*'План продаж'!K$14)*'Книга допущений'!$B$19^Расходы!J$10/1000</f>
        <v>0</v>
      </c>
      <c r="K29" s="114">
        <f>('Книга допущений'!$C199*'Книга допущений'!$D199*'План продаж'!L$14)*'Книга допущений'!$B$19^Расходы!K$10/1000</f>
        <v>84.494591999999983</v>
      </c>
      <c r="L29" s="114">
        <f>('Книга допущений'!$C199*'Книга допущений'!$D199*'План продаж'!M$14)*'Книга допущений'!$B$19^Расходы!L$10/1000</f>
        <v>86.305190400000001</v>
      </c>
      <c r="M29" s="114">
        <f>('Книга допущений'!$C199*'Книга допущений'!$D199*'План продаж'!N$14)*'Книга допущений'!$B$19^Расходы!M$10/1000</f>
        <v>70.08768000000002</v>
      </c>
      <c r="N29" s="114">
        <f>('Книга допущений'!$C199*'Книга допущений'!$D199*'План продаж'!O$14)*'Книга допущений'!$B$19^Расходы!N$10/1000*(1+Риски!$B$13)</f>
        <v>74.536300800000021</v>
      </c>
      <c r="O29" s="114">
        <f>('Книга допущений'!$C199*'Книга допущений'!$D199*'План продаж'!P$14)*'Книга допущений'!$B$19^Расходы!O$10/1000*(1+Риски!$B$13)</f>
        <v>57.238272000000002</v>
      </c>
      <c r="P29" s="114">
        <f>('Книга допущений'!$C199*'Книга допущений'!$D199*'План продаж'!Q$14)*'Книга допущений'!$B$19^Расходы!P$10/1000*(1+Риски!$B$13)</f>
        <v>131.26838400000005</v>
      </c>
      <c r="Q29" s="114">
        <f>('Книга допущений'!$C199*'Книга допущений'!$D199*'План продаж'!R$14)*'Книга допущений'!$B$19^Расходы!Q$10/1000*(1+Риски!$B$13)</f>
        <v>80.342286336000043</v>
      </c>
      <c r="R29" s="114">
        <f>('Книга допущений'!$C199*'Книга допущений'!$D199*'План продаж'!S$14)*'Книга допущений'!$B$19^Расходы!R$10/1000*(1+Риски!$B$13)</f>
        <v>67.464843264000024</v>
      </c>
      <c r="S29" s="114">
        <f>('Книга допущений'!$C199*'Книга допущений'!$D199*'План продаж'!T$14)*'Книга допущений'!$B$19^Расходы!S$10/1000*(1+Риски!$B$13)</f>
        <v>90.385072128000061</v>
      </c>
      <c r="T29" s="114">
        <f>('Книга допущений'!$C199*'Книга допущений'!$D199*'План продаж'!U$14)*'Книга допущений'!$B$19^Расходы!T$10/1000*(1+Риски!$B$13)</f>
        <v>80.787732480000017</v>
      </c>
      <c r="U29" s="114">
        <f>('Книга допущений'!$C199*'Книга допущений'!$D199*'План продаж'!V$14)*'Книга допущений'!$B$19^Расходы!U$10/1000*(1+Риски!$B$13)</f>
        <v>125.53482240000008</v>
      </c>
      <c r="V29" s="114">
        <f>('Книга допущений'!$C199*'Книга допущений'!$D199*'План продаж'!W$14)*'Книга допущений'!$B$19^Расходы!V$10/1000*(1+Риски!$B$13)</f>
        <v>145.78237440000004</v>
      </c>
      <c r="W29" s="114">
        <f>('Книга допущений'!$C199*'Книга допущений'!$D199*'План продаж'!X$14)*'Книга допущений'!$B$19^Расходы!W$10/1000*(1+Риски!$B$13)</f>
        <v>175.74875136</v>
      </c>
      <c r="X29" s="114">
        <f>('Книга допущений'!$C199*'Книга допущений'!$D199*'План продаж'!Y$14)*'Книга допущений'!$B$19^Расходы!X$10/1000*(1+Риски!$B$13)</f>
        <v>163.19526912000003</v>
      </c>
      <c r="Y29" s="114">
        <f>('Книга допущений'!$C199*'Книга допущений'!$D199*'План продаж'!Z$14)*'Книга допущений'!$B$19^Расходы!Y$10/1000*(1+Риски!$B$13)</f>
        <v>121.48531200000002</v>
      </c>
      <c r="Z29" s="114">
        <f>('Книга допущений'!$C199*'Книга допущений'!$D199*'План продаж'!AA$14)*'Книга допущений'!$B$19^Расходы!Z$10/1000*(1+Риски!$B$13)</f>
        <v>119.25808128</v>
      </c>
      <c r="AA29" s="114">
        <f>('Книга допущений'!$C199*'Книга допущений'!$D199*'План продаж'!AB$14)*'Книга допущений'!$B$19^Расходы!AA$10/1000*(1+Риски!$B$13)</f>
        <v>85.039718399999998</v>
      </c>
      <c r="AB29" s="114">
        <f>('Книга допущений'!$C199*'Книга допущений'!$D199*'План продаж'!AC$14)*'Книга допущений'!$B$19^Расходы!AB$10/1000*(1+Риски!$B$13)</f>
        <v>182.02549248000005</v>
      </c>
      <c r="AC29" s="114">
        <f>('Книга допущений'!$C199*'Книга допущений'!$D199*'План продаж'!AD$14)*'Книга допущений'!$B$19^Расходы!AC$10/1000*(1+Риски!$B$13)</f>
        <v>104.44497223680003</v>
      </c>
      <c r="AD29" s="114">
        <f>('Книга допущений'!$C199*'Книга допущений'!$D199*'План продаж'!AE$14)*'Книга допущений'!$B$19^Расходы!AD$10/1000*(1+Риски!$B$13)</f>
        <v>82.5452199936</v>
      </c>
      <c r="AE29" s="114">
        <f>('Книга допущений'!$C199*'Книга допущений'!$D199*'План продаж'!AF$14)*'Книга допущений'!$B$19^Расходы!AE$10/1000*(1+Риски!$B$13)</f>
        <v>104.44497223680003</v>
      </c>
      <c r="AF29" s="114">
        <f>('Книга допущений'!$C199*'Книга допущений'!$D199*'План продаж'!AG$14)*'Книга допущений'!$B$19^Расходы!AF$10/1000*(1+Риски!$B$13)</f>
        <v>88.441307135999992</v>
      </c>
      <c r="AG29" s="114">
        <f>('Книга допущений'!$C199*'Книга допущений'!$D199*'План продаж'!AH$14)*'Книга допущений'!$B$19^Расходы!AG$10/1000*(1+Риски!$B$13)</f>
        <v>130.556215296</v>
      </c>
      <c r="AH29" s="114">
        <f>('Книга допущений'!$C199*'Книга допущений'!$D199*'План продаж'!AI$14)*'Книга допущений'!$B$19^Расходы!AH$10/1000*(1+Риски!$B$13)</f>
        <v>151.61366937600002</v>
      </c>
      <c r="AI29" s="114">
        <f>('Книга допущений'!$C199*'Книга допущений'!$D199*'План продаж'!AJ$14)*'Книга допущений'!$B$19^Расходы!AI$10/1000*(1+Риски!$B$13)</f>
        <v>182.77870141439999</v>
      </c>
      <c r="AJ29" s="114">
        <f>('Книга допущений'!$C199*'Книга допущений'!$D199*'План продаж'!AK$14)*'Книга допущений'!$B$19^Расходы!AJ$10/1000*(1+Риски!$B$13)</f>
        <v>169.7230798848</v>
      </c>
      <c r="AK29" s="114">
        <f>('Книга допущений'!$C199*'Книга допущений'!$D199*'План продаж'!AL$14)*'Книга допущений'!$B$19^Расходы!AK$10/1000*(1+Риски!$B$13)</f>
        <v>126.34472448000001</v>
      </c>
      <c r="AL29" s="114">
        <f>('Книга допущений'!$C199*'Книга допущений'!$D199*'План продаж'!AM$14)*'Книга допущений'!$B$19^Расходы!AL$10/1000*(1+Риски!$B$13)</f>
        <v>124.0284045312</v>
      </c>
      <c r="AM29" s="114">
        <f>('Книга допущений'!$C199*'Книга допущений'!$D199*'План продаж'!AN$14)*'Книга допущений'!$B$19^Расходы!AM$10/1000*(1+Риски!$B$13)</f>
        <v>88.441307135999992</v>
      </c>
      <c r="AN29" s="114">
        <f>('Книга допущений'!$C199*'Книга допущений'!$D199*'План продаж'!AO$14)*'Книга допущений'!$B$19^Расходы!AN$10/1000*(1+Риски!$B$13)</f>
        <v>189.30651217920004</v>
      </c>
      <c r="AO29" s="114">
        <f>('Книга допущений'!$C199*'Книга допущений'!$D199*'План продаж'!AP$14)*'Книга допущений'!$B$19^Расходы!AO$10/1000*(1+Риски!$B$13)</f>
        <v>108.62277112627204</v>
      </c>
      <c r="AP29" s="114">
        <f>('Книга допущений'!$C199*'Книга допущений'!$D199*'План продаж'!AQ$14)*'Книга допущений'!$B$19^Расходы!AP$10/1000*(1+Риски!$B$13)</f>
        <v>85.847028793344009</v>
      </c>
      <c r="AQ29" s="114">
        <f>('Книга допущений'!$C199*'Книга допущений'!$D199*'План продаж'!AR$14)*'Книга допущений'!$B$19^Расходы!AQ$10/1000*(1+Риски!$B$13)</f>
        <v>108.62277112627204</v>
      </c>
      <c r="AR29" s="114">
        <f>('Книга допущений'!$C199*'Книга допущений'!$D199*'План продаж'!AS$14)*'Книга допущений'!$B$19^Расходы!AR$10/1000*(1+Риски!$B$13)</f>
        <v>91.978959421439995</v>
      </c>
      <c r="AS29" s="114">
        <f>('Книга допущений'!$C199*'Книга допущений'!$D199*'План продаж'!AT$14)*'Книга допущений'!$B$19^Расходы!AS$10/1000*(1+Риски!$B$13)</f>
        <v>135.77846390784003</v>
      </c>
      <c r="AT29" s="114">
        <f>('Книга допущений'!$C199*'Книга допущений'!$D199*'План продаж'!AU$14)*'Книга допущений'!$B$19^Расходы!AT$10/1000*(1+Риски!$B$13)</f>
        <v>157.67821615104</v>
      </c>
      <c r="AU29" s="114">
        <f>('Книга допущений'!$C199*'Книга допущений'!$D199*'План продаж'!AV$14)*'Книга допущений'!$B$19^Расходы!AU$10/1000*(1+Риски!$B$13)</f>
        <v>190.08984947097602</v>
      </c>
      <c r="AV29" s="114">
        <f>('Книга допущений'!$C199*'Книга допущений'!$D199*'План продаж'!AW$14)*'Книга допущений'!$B$19^Расходы!AV$10/1000*(1+Риски!$B$13)</f>
        <v>176.51200308019204</v>
      </c>
      <c r="AW29" s="114">
        <f>('Книга допущений'!$C199*'Книга допущений'!$D199*'План продаж'!AX$14)*'Книга допущений'!$B$19^Расходы!AW$10/1000*(1+Риски!$B$13)</f>
        <v>131.39851345920002</v>
      </c>
      <c r="AX29" s="114">
        <f>('Книга допущений'!$C199*'Книга допущений'!$D199*'План продаж'!AY$14)*'Книга допущений'!$B$19^Расходы!AX$10/1000*(1+Риски!$B$13)</f>
        <v>128.98954071244802</v>
      </c>
      <c r="AY29" s="114">
        <f>('Книга допущений'!$C199*'Книга допущений'!$D199*'План продаж'!AZ$14)*'Книга допущений'!$B$19^Расходы!AY$10/1000*(1+Риски!$B$13)</f>
        <v>91.978959421439995</v>
      </c>
      <c r="AZ29" s="114">
        <f>('Книга допущений'!$C199*'Книга допущений'!$D199*'План продаж'!BA$14)*'Книга допущений'!$B$19^Расходы!AZ$10/1000*(1+Риски!$B$13)</f>
        <v>196.87877266636806</v>
      </c>
      <c r="BA29" s="114">
        <f>('Книга допущений'!$C199*'Книга допущений'!$D199*'План продаж'!BB$14)*'Книга допущений'!$B$19^Расходы!BA$10/1000*(1+Риски!$B$13)</f>
        <v>112.96768197132292</v>
      </c>
      <c r="BB29" s="114">
        <f>('Книга допущений'!$C199*'Книга допущений'!$D199*'План продаж'!BC$14)*'Книга допущений'!$B$19^Расходы!BB$10/1000*(1+Риски!$B$13)</f>
        <v>89.280909945077767</v>
      </c>
      <c r="BC29" s="114">
        <f>('Книга допущений'!$C199*'Книга допущений'!$D199*'План продаж'!BD$14)*'Книга допущений'!$B$19^Расходы!BC$10/1000*(1+Риски!$B$13)</f>
        <v>112.96768197132292</v>
      </c>
      <c r="BD29" s="114">
        <f>('Книга допущений'!$C199*'Книга допущений'!$D199*'План продаж'!BE$14)*'Книга допущений'!$B$19^Расходы!BD$10/1000*(1+Риски!$B$13)</f>
        <v>95.65811779829761</v>
      </c>
      <c r="BE29" s="114">
        <f>('Книга допущений'!$C199*'Книга допущений'!$D199*'План продаж'!BF$14)*'Книга допущений'!$B$19^Расходы!BE$10/1000*(1+Риски!$B$13)</f>
        <v>141.20960246415365</v>
      </c>
      <c r="BF29" s="114">
        <f>('Книга допущений'!$C199*'Книга допущений'!$D199*'План продаж'!BG$14)*'Книга допущений'!$B$19^Расходы!BF$10/1000*(1+Риски!$B$13)</f>
        <v>163.98534479708164</v>
      </c>
      <c r="BG29" s="114">
        <f>('Книга допущений'!$C199*'Книга допущений'!$D199*'План продаж'!BH$14)*'Книга допущений'!$B$19^Расходы!BG$10/1000*(1+Риски!$B$13)</f>
        <v>197.69344344981508</v>
      </c>
      <c r="BH29" s="114">
        <f>('Книга допущений'!$C199*'Книга допущений'!$D199*'План продаж'!BI$14)*'Книга допущений'!$B$19^Расходы!BH$10/1000*(1+Риски!$B$13)</f>
        <v>183.57248320339974</v>
      </c>
      <c r="BI29" s="114">
        <f>('Книга допущений'!$C199*'Книга допущений'!$D199*'План продаж'!BJ$14)*'Книга допущений'!$B$19^Расходы!BI$10/1000*(1+Риски!$B$13)</f>
        <v>136.65445399756806</v>
      </c>
      <c r="BJ29" s="114">
        <f>('Книга допущений'!$C199*'Книга допущений'!$D199*'План продаж'!BK$14)*'Книга допущений'!$B$19^Расходы!BJ$10/1000*(1+Риски!$B$13)</f>
        <v>134.14912234094592</v>
      </c>
      <c r="BK29" s="114">
        <f>('Книга допущений'!$C199*'Книга допущений'!$D199*'План продаж'!BL$14)*'Книга допущений'!$B$19^Расходы!BK$10/1000*(1+Риски!$B$13)</f>
        <v>95.65811779829761</v>
      </c>
      <c r="BL29" s="114">
        <f>('Книга допущений'!$C199*'Книга допущений'!$D199*'План продаж'!BM$14)*'Книга допущений'!$B$19^Расходы!BL$10/1000*(1+Риски!$B$13)</f>
        <v>204.7539235730228</v>
      </c>
      <c r="BM29" s="114">
        <f>('Книга допущений'!$C199*'Книга допущений'!$D199*'План продаж'!BN$14)*'Книга допущений'!$B$19^Расходы!BM$10/1000*(1+Риски!$B$13)</f>
        <v>117.48638925017583</v>
      </c>
      <c r="BN29" s="114">
        <f>('Книга допущений'!$C199*'Книга допущений'!$D199*'План продаж'!BO$14)*'Книга допущений'!$B$19^Расходы!BN$10/1000*(1+Риски!$B$13)</f>
        <v>92.8521463428809</v>
      </c>
      <c r="BO29" s="114">
        <f>('Книга допущений'!$C199*'Книга допущений'!$D199*'План продаж'!BP$14)*'Книга допущений'!$B$19^Расходы!BO$10/1000*(1+Риски!$B$13)</f>
        <v>117.48638925017583</v>
      </c>
      <c r="BP29" s="114">
        <f>('Книга допущений'!$C199*'Книга допущений'!$D199*'План продаж'!BQ$14)*'Книга допущений'!$B$19^Расходы!BP$10/1000*(1+Риски!$B$13)</f>
        <v>99.484442510229528</v>
      </c>
      <c r="BQ29" s="114">
        <f>('Книга допущений'!$C199*'Книга допущений'!$D199*'План продаж'!BR$14)*'Книга допущений'!$B$19^Расходы!BQ$10/1000*(1+Риски!$B$13)</f>
        <v>146.85798656271979</v>
      </c>
      <c r="BR29" s="114">
        <f>('Книга допущений'!$C199*'Книга допущений'!$D199*'План продаж'!BS$14)*'Книга допущений'!$B$19^Расходы!BR$10/1000*(1+Риски!$B$13)</f>
        <v>170.5447585889649</v>
      </c>
      <c r="BS29" s="114">
        <f>('Книга допущений'!$C199*'Книга допущений'!$D199*'План продаж'!BT$14)*'Книга допущений'!$B$19^Расходы!BS$10/1000*(1+Риски!$B$13)</f>
        <v>205.60118118780767</v>
      </c>
      <c r="BT29" s="114">
        <f>('Книга допущений'!$C199*'Книга допущений'!$D199*'План продаж'!BU$14)*'Книга допущений'!$B$19^Расходы!BT$10/1000*(1+Риски!$B$13)</f>
        <v>190.91538253153573</v>
      </c>
      <c r="BU29" s="114">
        <f>('Книга допущений'!$C199*'Книга допущений'!$D199*'План продаж'!BV$14)*'Книга допущений'!$B$19^Расходы!BU$10/1000*(1+Риски!$B$13)</f>
        <v>142.12063215747077</v>
      </c>
      <c r="BV29" s="114">
        <f>('Книга допущений'!$C199*'Книга допущений'!$D199*'План продаж'!BW$14)*'Книга допущений'!$B$19^Расходы!BV$10/1000*(1+Риски!$B$13)</f>
        <v>139.51508723458377</v>
      </c>
      <c r="BW29" s="114">
        <f>('Книга допущений'!$C199*'Книга допущений'!$D199*'План продаж'!BX$14)*'Книга допущений'!$B$19^Расходы!BW$10/1000*(1+Риски!$B$13)</f>
        <v>99.484442510229528</v>
      </c>
      <c r="BX29" s="114">
        <f>('Книга допущений'!$C199*'Книга допущений'!$D199*'План продаж'!BY$14)*'Книга допущений'!$B$19^Расходы!BX$10/1000*(1+Риски!$B$13)</f>
        <v>212.94408051594371</v>
      </c>
    </row>
    <row r="30" spans="1:76" s="43" customFormat="1" x14ac:dyDescent="0.25">
      <c r="A30" s="157" t="str">
        <f>'Книга допущений'!A200</f>
        <v>Услуги турагентств</v>
      </c>
      <c r="B30" s="114">
        <f>('Книга допущений'!$C200*'Книга допущений'!$D200*'План продаж'!C$14)*'Книга допущений'!$B$19^Расходы!B$10/1000</f>
        <v>0</v>
      </c>
      <c r="C30" s="114">
        <f>('Книга допущений'!$C200*'Книга допущений'!$D200*'План продаж'!D$14)*'Книга допущений'!$B$19^Расходы!C$10/1000</f>
        <v>0</v>
      </c>
      <c r="D30" s="114">
        <f>('Книга допущений'!$C200*'Книга допущений'!$D200*'План продаж'!E$14)*'Книга допущений'!$B$19^Расходы!D$10/1000</f>
        <v>0</v>
      </c>
      <c r="E30" s="114">
        <f>('Книга допущений'!$C200*'Книга допущений'!$D200*'План продаж'!F$14)*'Книга допущений'!$B$19^Расходы!E$10/1000</f>
        <v>0</v>
      </c>
      <c r="F30" s="114">
        <f>('Книга допущений'!$C200*'Книга допущений'!$D200*'План продаж'!G$14)*'Книга допущений'!$B$19^Расходы!F$10/1000</f>
        <v>0</v>
      </c>
      <c r="G30" s="114">
        <f>('Книга допущений'!$C200*'Книга допущений'!$D200*'План продаж'!H$14)*'Книга допущений'!$B$19^Расходы!G$10/1000</f>
        <v>0</v>
      </c>
      <c r="H30" s="114">
        <f>('Книга допущений'!$C200*'Книга допущений'!$D200*'План продаж'!I$14)*'Книга допущений'!$B$19^Расходы!H$10/1000</f>
        <v>0</v>
      </c>
      <c r="I30" s="114">
        <f>('Книга допущений'!$C200*'Книга допущений'!$D200*'План продаж'!J$14)*'Книга допущений'!$B$19^Расходы!I$10/1000</f>
        <v>0</v>
      </c>
      <c r="J30" s="114">
        <f>('Книга допущений'!$C200*'Книга допущений'!$D200*'План продаж'!K$14)*'Книга допущений'!$B$19^Расходы!J$10/1000</f>
        <v>0</v>
      </c>
      <c r="K30" s="114">
        <f>('Книга допущений'!$C200*'Книга допущений'!$D200*'План продаж'!L$14)*'Книга допущений'!$B$19^Расходы!K$10/1000</f>
        <v>84.494591999999983</v>
      </c>
      <c r="L30" s="114">
        <f>('Книга допущений'!$C200*'Книга допущений'!$D200*'План продаж'!M$14)*'Книга допущений'!$B$19^Расходы!L$10/1000</f>
        <v>86.305190400000001</v>
      </c>
      <c r="M30" s="114">
        <f>('Книга допущений'!$C200*'Книга допущений'!$D200*'План продаж'!N$14)*'Книга допущений'!$B$19^Расходы!M$10/1000</f>
        <v>70.08768000000002</v>
      </c>
      <c r="N30" s="114">
        <f>('Книга допущений'!$C200*'Книга допущений'!$D200*'План продаж'!O$14)*'Книга допущений'!$B$19^Расходы!N$10/1000*(1+Риски!$B$13)</f>
        <v>74.536300800000021</v>
      </c>
      <c r="O30" s="114">
        <f>('Книга допущений'!$C200*'Книга допущений'!$D200*'План продаж'!P$14)*'Книга допущений'!$B$19^Расходы!O$10/1000*(1+Риски!$B$13)</f>
        <v>57.238272000000002</v>
      </c>
      <c r="P30" s="114">
        <f>('Книга допущений'!$C200*'Книга допущений'!$D200*'План продаж'!Q$14)*'Книга допущений'!$B$19^Расходы!P$10/1000*(1+Риски!$B$13)</f>
        <v>131.26838400000005</v>
      </c>
      <c r="Q30" s="114">
        <f>('Книга допущений'!$C200*'Книга допущений'!$D200*'План продаж'!R$14)*'Книга допущений'!$B$19^Расходы!Q$10/1000*(1+Риски!$B$13)</f>
        <v>80.342286336000043</v>
      </c>
      <c r="R30" s="114">
        <f>('Книга допущений'!$C200*'Книга допущений'!$D200*'План продаж'!S$14)*'Книга допущений'!$B$19^Расходы!R$10/1000*(1+Риски!$B$13)</f>
        <v>67.464843264000024</v>
      </c>
      <c r="S30" s="114">
        <f>('Книга допущений'!$C200*'Книга допущений'!$D200*'План продаж'!T$14)*'Книга допущений'!$B$19^Расходы!S$10/1000*(1+Риски!$B$13)</f>
        <v>90.385072128000061</v>
      </c>
      <c r="T30" s="114">
        <f>('Книга допущений'!$C200*'Книга допущений'!$D200*'План продаж'!U$14)*'Книга допущений'!$B$19^Расходы!T$10/1000*(1+Риски!$B$13)</f>
        <v>80.787732480000017</v>
      </c>
      <c r="U30" s="114">
        <f>('Книга допущений'!$C200*'Книга допущений'!$D200*'План продаж'!V$14)*'Книга допущений'!$B$19^Расходы!U$10/1000*(1+Риски!$B$13)</f>
        <v>125.53482240000008</v>
      </c>
      <c r="V30" s="114">
        <f>('Книга допущений'!$C200*'Книга допущений'!$D200*'План продаж'!W$14)*'Книга допущений'!$B$19^Расходы!V$10/1000*(1+Риски!$B$13)</f>
        <v>145.78237440000004</v>
      </c>
      <c r="W30" s="114">
        <f>('Книга допущений'!$C200*'Книга допущений'!$D200*'План продаж'!X$14)*'Книга допущений'!$B$19^Расходы!W$10/1000*(1+Риски!$B$13)</f>
        <v>175.74875136</v>
      </c>
      <c r="X30" s="114">
        <f>('Книга допущений'!$C200*'Книга допущений'!$D200*'План продаж'!Y$14)*'Книга допущений'!$B$19^Расходы!X$10/1000*(1+Риски!$B$13)</f>
        <v>163.19526912000003</v>
      </c>
      <c r="Y30" s="114">
        <f>('Книга допущений'!$C200*'Книга допущений'!$D200*'План продаж'!Z$14)*'Книга допущений'!$B$19^Расходы!Y$10/1000*(1+Риски!$B$13)</f>
        <v>121.48531200000002</v>
      </c>
      <c r="Z30" s="114">
        <f>('Книга допущений'!$C200*'Книга допущений'!$D200*'План продаж'!AA$14)*'Книга допущений'!$B$19^Расходы!Z$10/1000*(1+Риски!$B$13)</f>
        <v>119.25808128</v>
      </c>
      <c r="AA30" s="114">
        <f>('Книга допущений'!$C200*'Книга допущений'!$D200*'План продаж'!AB$14)*'Книга допущений'!$B$19^Расходы!AA$10/1000*(1+Риски!$B$13)</f>
        <v>85.039718399999998</v>
      </c>
      <c r="AB30" s="114">
        <f>('Книга допущений'!$C200*'Книга допущений'!$D200*'План продаж'!AC$14)*'Книга допущений'!$B$19^Расходы!AB$10/1000*(1+Риски!$B$13)</f>
        <v>182.02549248000005</v>
      </c>
      <c r="AC30" s="114">
        <f>('Книга допущений'!$C200*'Книга допущений'!$D200*'План продаж'!AD$14)*'Книга допущений'!$B$19^Расходы!AC$10/1000*(1+Риски!$B$13)</f>
        <v>104.44497223680003</v>
      </c>
      <c r="AD30" s="114">
        <f>('Книга допущений'!$C200*'Книга допущений'!$D200*'План продаж'!AE$14)*'Книга допущений'!$B$19^Расходы!AD$10/1000*(1+Риски!$B$13)</f>
        <v>82.5452199936</v>
      </c>
      <c r="AE30" s="114">
        <f>('Книга допущений'!$C200*'Книга допущений'!$D200*'План продаж'!AF$14)*'Книга допущений'!$B$19^Расходы!AE$10/1000*(1+Риски!$B$13)</f>
        <v>104.44497223680003</v>
      </c>
      <c r="AF30" s="114">
        <f>('Книга допущений'!$C200*'Книга допущений'!$D200*'План продаж'!AG$14)*'Книга допущений'!$B$19^Расходы!AF$10/1000*(1+Риски!$B$13)</f>
        <v>88.441307135999992</v>
      </c>
      <c r="AG30" s="114">
        <f>('Книга допущений'!$C200*'Книга допущений'!$D200*'План продаж'!AH$14)*'Книга допущений'!$B$19^Расходы!AG$10/1000*(1+Риски!$B$13)</f>
        <v>130.556215296</v>
      </c>
      <c r="AH30" s="114">
        <f>('Книга допущений'!$C200*'Книга допущений'!$D200*'План продаж'!AI$14)*'Книга допущений'!$B$19^Расходы!AH$10/1000*(1+Риски!$B$13)</f>
        <v>151.61366937600002</v>
      </c>
      <c r="AI30" s="114">
        <f>('Книга допущений'!$C200*'Книга допущений'!$D200*'План продаж'!AJ$14)*'Книга допущений'!$B$19^Расходы!AI$10/1000*(1+Риски!$B$13)</f>
        <v>182.77870141439999</v>
      </c>
      <c r="AJ30" s="114">
        <f>('Книга допущений'!$C200*'Книга допущений'!$D200*'План продаж'!AK$14)*'Книга допущений'!$B$19^Расходы!AJ$10/1000*(1+Риски!$B$13)</f>
        <v>169.7230798848</v>
      </c>
      <c r="AK30" s="114">
        <f>('Книга допущений'!$C200*'Книга допущений'!$D200*'План продаж'!AL$14)*'Книга допущений'!$B$19^Расходы!AK$10/1000*(1+Риски!$B$13)</f>
        <v>126.34472448000001</v>
      </c>
      <c r="AL30" s="114">
        <f>('Книга допущений'!$C200*'Книга допущений'!$D200*'План продаж'!AM$14)*'Книга допущений'!$B$19^Расходы!AL$10/1000*(1+Риски!$B$13)</f>
        <v>124.0284045312</v>
      </c>
      <c r="AM30" s="114">
        <f>('Книга допущений'!$C200*'Книга допущений'!$D200*'План продаж'!AN$14)*'Книга допущений'!$B$19^Расходы!AM$10/1000*(1+Риски!$B$13)</f>
        <v>88.441307135999992</v>
      </c>
      <c r="AN30" s="114">
        <f>('Книга допущений'!$C200*'Книга допущений'!$D200*'План продаж'!AO$14)*'Книга допущений'!$B$19^Расходы!AN$10/1000*(1+Риски!$B$13)</f>
        <v>189.30651217920004</v>
      </c>
      <c r="AO30" s="114">
        <f>('Книга допущений'!$C200*'Книга допущений'!$D200*'План продаж'!AP$14)*'Книга допущений'!$B$19^Расходы!AO$10/1000*(1+Риски!$B$13)</f>
        <v>108.62277112627204</v>
      </c>
      <c r="AP30" s="114">
        <f>('Книга допущений'!$C200*'Книга допущений'!$D200*'План продаж'!AQ$14)*'Книга допущений'!$B$19^Расходы!AP$10/1000*(1+Риски!$B$13)</f>
        <v>85.847028793344009</v>
      </c>
      <c r="AQ30" s="114">
        <f>('Книга допущений'!$C200*'Книга допущений'!$D200*'План продаж'!AR$14)*'Книга допущений'!$B$19^Расходы!AQ$10/1000*(1+Риски!$B$13)</f>
        <v>108.62277112627204</v>
      </c>
      <c r="AR30" s="114">
        <f>('Книга допущений'!$C200*'Книга допущений'!$D200*'План продаж'!AS$14)*'Книга допущений'!$B$19^Расходы!AR$10/1000*(1+Риски!$B$13)</f>
        <v>91.978959421439995</v>
      </c>
      <c r="AS30" s="114">
        <f>('Книга допущений'!$C200*'Книга допущений'!$D200*'План продаж'!AT$14)*'Книга допущений'!$B$19^Расходы!AS$10/1000*(1+Риски!$B$13)</f>
        <v>135.77846390784003</v>
      </c>
      <c r="AT30" s="114">
        <f>('Книга допущений'!$C200*'Книга допущений'!$D200*'План продаж'!AU$14)*'Книга допущений'!$B$19^Расходы!AT$10/1000*(1+Риски!$B$13)</f>
        <v>157.67821615104</v>
      </c>
      <c r="AU30" s="114">
        <f>('Книга допущений'!$C200*'Книга допущений'!$D200*'План продаж'!AV$14)*'Книга допущений'!$B$19^Расходы!AU$10/1000*(1+Риски!$B$13)</f>
        <v>190.08984947097602</v>
      </c>
      <c r="AV30" s="114">
        <f>('Книга допущений'!$C200*'Книга допущений'!$D200*'План продаж'!AW$14)*'Книга допущений'!$B$19^Расходы!AV$10/1000*(1+Риски!$B$13)</f>
        <v>176.51200308019204</v>
      </c>
      <c r="AW30" s="114">
        <f>('Книга допущений'!$C200*'Книга допущений'!$D200*'План продаж'!AX$14)*'Книга допущений'!$B$19^Расходы!AW$10/1000*(1+Риски!$B$13)</f>
        <v>131.39851345920002</v>
      </c>
      <c r="AX30" s="114">
        <f>('Книга допущений'!$C200*'Книга допущений'!$D200*'План продаж'!AY$14)*'Книга допущений'!$B$19^Расходы!AX$10/1000*(1+Риски!$B$13)</f>
        <v>128.98954071244802</v>
      </c>
      <c r="AY30" s="114">
        <f>('Книга допущений'!$C200*'Книга допущений'!$D200*'План продаж'!AZ$14)*'Книга допущений'!$B$19^Расходы!AY$10/1000*(1+Риски!$B$13)</f>
        <v>91.978959421439995</v>
      </c>
      <c r="AZ30" s="114">
        <f>('Книга допущений'!$C200*'Книга допущений'!$D200*'План продаж'!BA$14)*'Книга допущений'!$B$19^Расходы!AZ$10/1000*(1+Риски!$B$13)</f>
        <v>196.87877266636806</v>
      </c>
      <c r="BA30" s="114">
        <f>('Книга допущений'!$C200*'Книга допущений'!$D200*'План продаж'!BB$14)*'Книга допущений'!$B$19^Расходы!BA$10/1000*(1+Риски!$B$13)</f>
        <v>112.96768197132292</v>
      </c>
      <c r="BB30" s="114">
        <f>('Книга допущений'!$C200*'Книга допущений'!$D200*'План продаж'!BC$14)*'Книга допущений'!$B$19^Расходы!BB$10/1000*(1+Риски!$B$13)</f>
        <v>89.280909945077767</v>
      </c>
      <c r="BC30" s="114">
        <f>('Книга допущений'!$C200*'Книга допущений'!$D200*'План продаж'!BD$14)*'Книга допущений'!$B$19^Расходы!BC$10/1000*(1+Риски!$B$13)</f>
        <v>112.96768197132292</v>
      </c>
      <c r="BD30" s="114">
        <f>('Книга допущений'!$C200*'Книга допущений'!$D200*'План продаж'!BE$14)*'Книга допущений'!$B$19^Расходы!BD$10/1000*(1+Риски!$B$13)</f>
        <v>95.65811779829761</v>
      </c>
      <c r="BE30" s="114">
        <f>('Книга допущений'!$C200*'Книга допущений'!$D200*'План продаж'!BF$14)*'Книга допущений'!$B$19^Расходы!BE$10/1000*(1+Риски!$B$13)</f>
        <v>141.20960246415365</v>
      </c>
      <c r="BF30" s="114">
        <f>('Книга допущений'!$C200*'Книга допущений'!$D200*'План продаж'!BG$14)*'Книга допущений'!$B$19^Расходы!BF$10/1000*(1+Риски!$B$13)</f>
        <v>163.98534479708164</v>
      </c>
      <c r="BG30" s="114">
        <f>('Книга допущений'!$C200*'Книга допущений'!$D200*'План продаж'!BH$14)*'Книга допущений'!$B$19^Расходы!BG$10/1000*(1+Риски!$B$13)</f>
        <v>197.69344344981508</v>
      </c>
      <c r="BH30" s="114">
        <f>('Книга допущений'!$C200*'Книга допущений'!$D200*'План продаж'!BI$14)*'Книга допущений'!$B$19^Расходы!BH$10/1000*(1+Риски!$B$13)</f>
        <v>183.57248320339974</v>
      </c>
      <c r="BI30" s="114">
        <f>('Книга допущений'!$C200*'Книга допущений'!$D200*'План продаж'!BJ$14)*'Книга допущений'!$B$19^Расходы!BI$10/1000*(1+Риски!$B$13)</f>
        <v>136.65445399756806</v>
      </c>
      <c r="BJ30" s="114">
        <f>('Книга допущений'!$C200*'Книга допущений'!$D200*'План продаж'!BK$14)*'Книга допущений'!$B$19^Расходы!BJ$10/1000*(1+Риски!$B$13)</f>
        <v>134.14912234094592</v>
      </c>
      <c r="BK30" s="114">
        <f>('Книга допущений'!$C200*'Книга допущений'!$D200*'План продаж'!BL$14)*'Книга допущений'!$B$19^Расходы!BK$10/1000*(1+Риски!$B$13)</f>
        <v>95.65811779829761</v>
      </c>
      <c r="BL30" s="114">
        <f>('Книга допущений'!$C200*'Книга допущений'!$D200*'План продаж'!BM$14)*'Книга допущений'!$B$19^Расходы!BL$10/1000*(1+Риски!$B$13)</f>
        <v>204.7539235730228</v>
      </c>
      <c r="BM30" s="114">
        <f>('Книга допущений'!$C200*'Книга допущений'!$D200*'План продаж'!BN$14)*'Книга допущений'!$B$19^Расходы!BM$10/1000*(1+Риски!$B$13)</f>
        <v>117.48638925017583</v>
      </c>
      <c r="BN30" s="114">
        <f>('Книга допущений'!$C200*'Книга допущений'!$D200*'План продаж'!BO$14)*'Книга допущений'!$B$19^Расходы!BN$10/1000*(1+Риски!$B$13)</f>
        <v>92.8521463428809</v>
      </c>
      <c r="BO30" s="114">
        <f>('Книга допущений'!$C200*'Книга допущений'!$D200*'План продаж'!BP$14)*'Книга допущений'!$B$19^Расходы!BO$10/1000*(1+Риски!$B$13)</f>
        <v>117.48638925017583</v>
      </c>
      <c r="BP30" s="114">
        <f>('Книга допущений'!$C200*'Книга допущений'!$D200*'План продаж'!BQ$14)*'Книга допущений'!$B$19^Расходы!BP$10/1000*(1+Риски!$B$13)</f>
        <v>99.484442510229528</v>
      </c>
      <c r="BQ30" s="114">
        <f>('Книга допущений'!$C200*'Книга допущений'!$D200*'План продаж'!BR$14)*'Книга допущений'!$B$19^Расходы!BQ$10/1000*(1+Риски!$B$13)</f>
        <v>146.85798656271979</v>
      </c>
      <c r="BR30" s="114">
        <f>('Книга допущений'!$C200*'Книга допущений'!$D200*'План продаж'!BS$14)*'Книга допущений'!$B$19^Расходы!BR$10/1000*(1+Риски!$B$13)</f>
        <v>170.5447585889649</v>
      </c>
      <c r="BS30" s="114">
        <f>('Книга допущений'!$C200*'Книга допущений'!$D200*'План продаж'!BT$14)*'Книга допущений'!$B$19^Расходы!BS$10/1000*(1+Риски!$B$13)</f>
        <v>205.60118118780767</v>
      </c>
      <c r="BT30" s="114">
        <f>('Книга допущений'!$C200*'Книга допущений'!$D200*'План продаж'!BU$14)*'Книга допущений'!$B$19^Расходы!BT$10/1000*(1+Риски!$B$13)</f>
        <v>190.91538253153573</v>
      </c>
      <c r="BU30" s="114">
        <f>('Книга допущений'!$C200*'Книга допущений'!$D200*'План продаж'!BV$14)*'Книга допущений'!$B$19^Расходы!BU$10/1000*(1+Риски!$B$13)</f>
        <v>142.12063215747077</v>
      </c>
      <c r="BV30" s="114">
        <f>('Книга допущений'!$C200*'Книга допущений'!$D200*'План продаж'!BW$14)*'Книга допущений'!$B$19^Расходы!BV$10/1000*(1+Риски!$B$13)</f>
        <v>139.51508723458377</v>
      </c>
      <c r="BW30" s="114">
        <f>('Книга допущений'!$C200*'Книга допущений'!$D200*'План продаж'!BX$14)*'Книга допущений'!$B$19^Расходы!BW$10/1000*(1+Риски!$B$13)</f>
        <v>99.484442510229528</v>
      </c>
      <c r="BX30" s="114">
        <f>('Книга допущений'!$C200*'Книга допущений'!$D200*'План продаж'!BY$14)*'Книга допущений'!$B$19^Расходы!BX$10/1000*(1+Риски!$B$13)</f>
        <v>212.94408051594371</v>
      </c>
    </row>
    <row r="31" spans="1:76" s="43" customFormat="1" x14ac:dyDescent="0.25">
      <c r="A31" s="157" t="str">
        <f>'Книга допущений'!A201</f>
        <v>Контекстная реклама и таргетинг</v>
      </c>
      <c r="B31" s="114">
        <f>('Книга допущений'!$C201*'Книга допущений'!$D201*'План продаж'!C$14)*'Книга допущений'!$B$19^Расходы!B$10/1000</f>
        <v>0</v>
      </c>
      <c r="C31" s="114">
        <f>('Книга допущений'!$C201*'Книга допущений'!$D201*'План продаж'!D$14)*'Книга допущений'!$B$19^Расходы!C$10/1000</f>
        <v>0</v>
      </c>
      <c r="D31" s="114">
        <f>('Книга допущений'!$C201*'Книга допущений'!$D201*'План продаж'!E$14)*'Книга допущений'!$B$19^Расходы!D$10/1000</f>
        <v>0</v>
      </c>
      <c r="E31" s="114">
        <f>('Книга допущений'!$C201*'Книга допущений'!$D201*'План продаж'!F$14)*'Книга допущений'!$B$19^Расходы!E$10/1000</f>
        <v>0</v>
      </c>
      <c r="F31" s="114">
        <f>('Книга допущений'!$C201*'Книга допущений'!$D201*'План продаж'!G$14)*'Книга допущений'!$B$19^Расходы!F$10/1000</f>
        <v>0</v>
      </c>
      <c r="G31" s="114">
        <f>('Книга допущений'!$C201*'Книга допущений'!$D201*'План продаж'!H$14)*'Книга допущений'!$B$19^Расходы!G$10/1000</f>
        <v>0</v>
      </c>
      <c r="H31" s="114">
        <f>('Книга допущений'!$C201*'Книга допущений'!$D201*'План продаж'!I$14)*'Книга допущений'!$B$19^Расходы!H$10/1000</f>
        <v>0</v>
      </c>
      <c r="I31" s="114">
        <f>('Книга допущений'!$C201*'Книга допущений'!$D201*'План продаж'!J$14)*'Книга допущений'!$B$19^Расходы!I$10/1000</f>
        <v>0</v>
      </c>
      <c r="J31" s="114">
        <f>('Книга допущений'!$C201*'Книга допущений'!$D201*'План продаж'!K$14)*'Книга допущений'!$B$19^Расходы!J$10/1000</f>
        <v>0</v>
      </c>
      <c r="K31" s="114">
        <f>('Книга допущений'!$C201*'Книга допущений'!$D201*'План продаж'!L$14)*'Книга допущений'!$B$19^Расходы!K$10/1000</f>
        <v>70.41216</v>
      </c>
      <c r="L31" s="114">
        <f>('Книга допущений'!$C201*'Книга допущений'!$D201*'План продаж'!M$14)*'Книга допущений'!$B$19^Расходы!L$10/1000</f>
        <v>71.920992000000027</v>
      </c>
      <c r="M31" s="114">
        <f>('Книга допущений'!$C201*'Книга допущений'!$D201*'План продаж'!N$14)*'Книга допущений'!$B$19^Расходы!M$10/1000</f>
        <v>58.406400000000019</v>
      </c>
      <c r="N31" s="114">
        <f>('Книга допущений'!$C201*'Книга допущений'!$D201*'План продаж'!O$14)*'Книга допущений'!$B$19^Расходы!N$10/1000*(1+Риски!$B$13)</f>
        <v>62.11358400000001</v>
      </c>
      <c r="O31" s="114">
        <f>('Книга допущений'!$C201*'Книга допущений'!$D201*'План продаж'!P$14)*'Книга допущений'!$B$19^Расходы!O$10/1000*(1+Риски!$B$13)</f>
        <v>47.698560000000015</v>
      </c>
      <c r="P31" s="114">
        <f>('Книга допущений'!$C201*'Книга допущений'!$D201*'План продаж'!Q$14)*'Книга допущений'!$B$19^Расходы!P$10/1000*(1+Риски!$B$13)</f>
        <v>109.39032000000005</v>
      </c>
      <c r="Q31" s="114">
        <f>('Книга допущений'!$C201*'Книга допущений'!$D201*'План продаж'!R$14)*'Книга допущений'!$B$19^Расходы!Q$10/1000*(1+Риски!$B$13)</f>
        <v>66.951905280000034</v>
      </c>
      <c r="R31" s="114">
        <f>('Книга допущений'!$C201*'Книга допущений'!$D201*'План продаж'!S$14)*'Книга допущений'!$B$19^Расходы!R$10/1000*(1+Риски!$B$13)</f>
        <v>56.220702720000013</v>
      </c>
      <c r="S31" s="114">
        <f>('Книга допущений'!$C201*'Книга допущений'!$D201*'План продаж'!T$14)*'Книга допущений'!$B$19^Расходы!S$10/1000*(1+Риски!$B$13)</f>
        <v>75.320893440000049</v>
      </c>
      <c r="T31" s="114">
        <f>('Книга допущений'!$C201*'Книга допущений'!$D201*'План продаж'!U$14)*'Книга допущений'!$B$19^Расходы!T$10/1000*(1+Риски!$B$13)</f>
        <v>67.323110400000019</v>
      </c>
      <c r="U31" s="114">
        <f>('Книга допущений'!$C201*'Книга допущений'!$D201*'План продаж'!V$14)*'Книга допущений'!$B$19^Расходы!U$10/1000*(1+Риски!$B$13)</f>
        <v>104.61235200000006</v>
      </c>
      <c r="V31" s="114">
        <f>('Книга допущений'!$C201*'Книга допущений'!$D201*'План продаж'!W$14)*'Книга допущений'!$B$19^Расходы!V$10/1000*(1+Риски!$B$13)</f>
        <v>121.48531200000002</v>
      </c>
      <c r="W31" s="114">
        <f>('Книга допущений'!$C201*'Книга допущений'!$D201*'План продаж'!X$14)*'Книга допущений'!$B$19^Расходы!W$10/1000*(1+Риски!$B$13)</f>
        <v>146.45729280000003</v>
      </c>
      <c r="X31" s="114">
        <f>('Книга допущений'!$C201*'Книга допущений'!$D201*'План продаж'!Y$14)*'Книга допущений'!$B$19^Расходы!X$10/1000*(1+Риски!$B$13)</f>
        <v>135.99605760000003</v>
      </c>
      <c r="Y31" s="114">
        <f>('Книга допущений'!$C201*'Книга допущений'!$D201*'План продаж'!Z$14)*'Книга допущений'!$B$19^Расходы!Y$10/1000*(1+Риски!$B$13)</f>
        <v>101.23776000000001</v>
      </c>
      <c r="Z31" s="114">
        <f>('Книга допущений'!$C201*'Книга допущений'!$D201*'План продаж'!AA$14)*'Книга допущений'!$B$19^Расходы!Z$10/1000*(1+Риски!$B$13)</f>
        <v>99.381734399999999</v>
      </c>
      <c r="AA31" s="114">
        <f>('Книга допущений'!$C201*'Книга допущений'!$D201*'План продаж'!AB$14)*'Книга допущений'!$B$19^Расходы!AA$10/1000*(1+Риски!$B$13)</f>
        <v>70.866432000000003</v>
      </c>
      <c r="AB31" s="114">
        <f>('Книга допущений'!$C201*'Книга допущений'!$D201*'План продаж'!AC$14)*'Книга допущений'!$B$19^Расходы!AB$10/1000*(1+Риски!$B$13)</f>
        <v>151.68791040000002</v>
      </c>
      <c r="AC31" s="114">
        <f>('Книга допущений'!$C201*'Книга допущений'!$D201*'План продаж'!AD$14)*'Книга допущений'!$B$19^Расходы!AC$10/1000*(1+Риски!$B$13)</f>
        <v>87.037476864000027</v>
      </c>
      <c r="AD31" s="114">
        <f>('Книга допущений'!$C201*'Книга допущений'!$D201*'План продаж'!AE$14)*'Книга допущений'!$B$19^Расходы!AD$10/1000*(1+Риски!$B$13)</f>
        <v>68.787683328</v>
      </c>
      <c r="AE31" s="114">
        <f>('Книга допущений'!$C201*'Книга допущений'!$D201*'План продаж'!AF$14)*'Книга допущений'!$B$19^Расходы!AE$10/1000*(1+Риски!$B$13)</f>
        <v>87.037476864000027</v>
      </c>
      <c r="AF31" s="114">
        <f>('Книга допущений'!$C201*'Книга допущений'!$D201*'План продаж'!AG$14)*'Книга допущений'!$B$19^Расходы!AF$10/1000*(1+Риски!$B$13)</f>
        <v>73.701089280000005</v>
      </c>
      <c r="AG31" s="114">
        <f>('Книга допущений'!$C201*'Книга допущений'!$D201*'План продаж'!AH$14)*'Книга допущений'!$B$19^Расходы!AG$10/1000*(1+Риски!$B$13)</f>
        <v>108.79684608000001</v>
      </c>
      <c r="AH31" s="114">
        <f>('Книга допущений'!$C201*'Книга допущений'!$D201*'План продаж'!AI$14)*'Книга допущений'!$B$19^Расходы!AH$10/1000*(1+Риски!$B$13)</f>
        <v>126.34472448000001</v>
      </c>
      <c r="AI31" s="114">
        <f>('Книга допущений'!$C201*'Книга допущений'!$D201*'План продаж'!AJ$14)*'Книга допущений'!$B$19^Расходы!AI$10/1000*(1+Риски!$B$13)</f>
        <v>152.31558451200002</v>
      </c>
      <c r="AJ31" s="114">
        <f>('Книга допущений'!$C201*'Книга допущений'!$D201*'План продаж'!AK$14)*'Книга допущений'!$B$19^Расходы!AJ$10/1000*(1+Риски!$B$13)</f>
        <v>141.43589990400002</v>
      </c>
      <c r="AK31" s="114">
        <f>('Книга допущений'!$C201*'Книга допущений'!$D201*'План продаж'!AL$14)*'Книга допущений'!$B$19^Расходы!AK$10/1000*(1+Риски!$B$13)</f>
        <v>105.28727040000001</v>
      </c>
      <c r="AL31" s="114">
        <f>('Книга допущений'!$C201*'Книга допущений'!$D201*'План продаж'!AM$14)*'Книга допущений'!$B$19^Расходы!AL$10/1000*(1+Риски!$B$13)</f>
        <v>103.357003776</v>
      </c>
      <c r="AM31" s="114">
        <f>('Книга допущений'!$C201*'Книга допущений'!$D201*'План продаж'!AN$14)*'Книга допущений'!$B$19^Расходы!AM$10/1000*(1+Риски!$B$13)</f>
        <v>73.701089280000005</v>
      </c>
      <c r="AN31" s="114">
        <f>('Книга допущений'!$C201*'Книга допущений'!$D201*'План продаж'!AO$14)*'Книга допущений'!$B$19^Расходы!AN$10/1000*(1+Риски!$B$13)</f>
        <v>157.75542681600001</v>
      </c>
      <c r="AO31" s="114">
        <f>('Книга допущений'!$C201*'Книга допущений'!$D201*'План продаж'!AP$14)*'Книга допущений'!$B$19^Расходы!AO$10/1000*(1+Риски!$B$13)</f>
        <v>90.518975938560033</v>
      </c>
      <c r="AP31" s="114">
        <f>('Книга допущений'!$C201*'Книга допущений'!$D201*'План продаж'!AQ$14)*'Книга допущений'!$B$19^Расходы!AP$10/1000*(1+Риски!$B$13)</f>
        <v>71.539190661120017</v>
      </c>
      <c r="AQ31" s="114">
        <f>('Книга допущений'!$C201*'Книга допущений'!$D201*'План продаж'!AR$14)*'Книга допущений'!$B$19^Расходы!AQ$10/1000*(1+Риски!$B$13)</f>
        <v>90.518975938560033</v>
      </c>
      <c r="AR31" s="114">
        <f>('Книга допущений'!$C201*'Книга допущений'!$D201*'План продаж'!AS$14)*'Книга допущений'!$B$19^Расходы!AR$10/1000*(1+Риски!$B$13)</f>
        <v>76.649132851200008</v>
      </c>
      <c r="AS31" s="114">
        <f>('Книга допущений'!$C201*'Книга допущений'!$D201*'План продаж'!AT$14)*'Книга допущений'!$B$19^Расходы!AS$10/1000*(1+Риски!$B$13)</f>
        <v>113.14871992320003</v>
      </c>
      <c r="AT31" s="114">
        <f>('Книга допущений'!$C201*'Книга допущений'!$D201*'План продаж'!AU$14)*'Книга допущений'!$B$19^Расходы!AT$10/1000*(1+Риски!$B$13)</f>
        <v>131.39851345920002</v>
      </c>
      <c r="AU31" s="114">
        <f>('Книга допущений'!$C201*'Книга допущений'!$D201*'План продаж'!AV$14)*'Книга допущений'!$B$19^Расходы!AU$10/1000*(1+Риски!$B$13)</f>
        <v>158.40820789248002</v>
      </c>
      <c r="AV31" s="114">
        <f>('Книга допущений'!$C201*'Книга допущений'!$D201*'План продаж'!AW$14)*'Книга допущений'!$B$19^Расходы!AV$10/1000*(1+Риски!$B$13)</f>
        <v>147.09333590016004</v>
      </c>
      <c r="AW31" s="114">
        <f>('Книга допущений'!$C201*'Книга допущений'!$D201*'План продаж'!AX$14)*'Книга допущений'!$B$19^Расходы!AW$10/1000*(1+Риски!$B$13)</f>
        <v>109.49876121600002</v>
      </c>
      <c r="AX31" s="114">
        <f>('Книга допущений'!$C201*'Книга допущений'!$D201*'План продаж'!AY$14)*'Книга допущений'!$B$19^Расходы!AX$10/1000*(1+Риски!$B$13)</f>
        <v>107.49128392704</v>
      </c>
      <c r="AY31" s="114">
        <f>('Книга допущений'!$C201*'Книга допущений'!$D201*'План продаж'!AZ$14)*'Книга допущений'!$B$19^Расходы!AY$10/1000*(1+Риски!$B$13)</f>
        <v>76.649132851200008</v>
      </c>
      <c r="AZ31" s="114">
        <f>('Книга допущений'!$C201*'Книга допущений'!$D201*'План продаж'!BA$14)*'Книга допущений'!$B$19^Расходы!AZ$10/1000*(1+Риски!$B$13)</f>
        <v>164.06564388864004</v>
      </c>
      <c r="BA31" s="114">
        <f>('Книга допущений'!$C201*'Книга допущений'!$D201*'План продаж'!BB$14)*'Книга допущений'!$B$19^Расходы!BA$10/1000*(1+Риски!$B$13)</f>
        <v>94.139734976102432</v>
      </c>
      <c r="BB31" s="114">
        <f>('Книга допущений'!$C201*'Книга допущений'!$D201*'План продаж'!BC$14)*'Книга допущений'!$B$19^Расходы!BB$10/1000*(1+Риски!$B$13)</f>
        <v>74.400758287564827</v>
      </c>
      <c r="BC31" s="114">
        <f>('Книга допущений'!$C201*'Книга допущений'!$D201*'План продаж'!BD$14)*'Книга допущений'!$B$19^Расходы!BC$10/1000*(1+Риски!$B$13)</f>
        <v>94.139734976102432</v>
      </c>
      <c r="BD31" s="114">
        <f>('Книга допущений'!$C201*'Книга допущений'!$D201*'План продаж'!BE$14)*'Книга допущений'!$B$19^Расходы!BD$10/1000*(1+Риски!$B$13)</f>
        <v>79.715098165248008</v>
      </c>
      <c r="BE31" s="114">
        <f>('Книга допущений'!$C201*'Книга допущений'!$D201*'План продаж'!BF$14)*'Книга допущений'!$B$19^Расходы!BE$10/1000*(1+Риски!$B$13)</f>
        <v>117.67466872012803</v>
      </c>
      <c r="BF31" s="114">
        <f>('Книга допущений'!$C201*'Книга допущений'!$D201*'План продаж'!BG$14)*'Книга допущений'!$B$19^Расходы!BF$10/1000*(1+Риски!$B$13)</f>
        <v>136.65445399756806</v>
      </c>
      <c r="BG31" s="114">
        <f>('Книга допущений'!$C201*'Книга допущений'!$D201*'План продаж'!BH$14)*'Книга допущений'!$B$19^Расходы!BG$10/1000*(1+Риски!$B$13)</f>
        <v>164.74453620817926</v>
      </c>
      <c r="BH31" s="114">
        <f>('Книга допущений'!$C201*'Книга допущений'!$D201*'План продаж'!BI$14)*'Книга допущений'!$B$19^Расходы!BH$10/1000*(1+Риски!$B$13)</f>
        <v>152.97706933616647</v>
      </c>
      <c r="BI31" s="114">
        <f>('Книга допущений'!$C201*'Книга допущений'!$D201*'План продаж'!BJ$14)*'Книга допущений'!$B$19^Расходы!BI$10/1000*(1+Риски!$B$13)</f>
        <v>113.87871166464004</v>
      </c>
      <c r="BJ31" s="114">
        <f>('Книга допущений'!$C201*'Книга допущений'!$D201*'План продаж'!BK$14)*'Книга допущений'!$B$19^Расходы!BJ$10/1000*(1+Риски!$B$13)</f>
        <v>111.79093528412162</v>
      </c>
      <c r="BK31" s="114">
        <f>('Книга допущений'!$C201*'Книга допущений'!$D201*'План продаж'!BL$14)*'Книга допущений'!$B$19^Расходы!BK$10/1000*(1+Риски!$B$13)</f>
        <v>79.715098165248008</v>
      </c>
      <c r="BL31" s="114">
        <f>('Книга допущений'!$C201*'Книга допущений'!$D201*'План продаж'!BM$14)*'Книга допущений'!$B$19^Расходы!BL$10/1000*(1+Риски!$B$13)</f>
        <v>170.62826964418565</v>
      </c>
      <c r="BM31" s="114">
        <f>('Книга допущений'!$C201*'Книга допущений'!$D201*'План продаж'!BN$14)*'Книга допущений'!$B$19^Расходы!BM$10/1000*(1+Риски!$B$13)</f>
        <v>97.905324375146549</v>
      </c>
      <c r="BN31" s="114">
        <f>('Книга допущений'!$C201*'Книга допущений'!$D201*'План продаж'!BO$14)*'Книга допущений'!$B$19^Расходы!BN$10/1000*(1+Риски!$B$13)</f>
        <v>77.376788619067412</v>
      </c>
      <c r="BO31" s="114">
        <f>('Книга допущений'!$C201*'Книга допущений'!$D201*'План продаж'!BP$14)*'Книга допущений'!$B$19^Расходы!BO$10/1000*(1+Риски!$B$13)</f>
        <v>97.905324375146549</v>
      </c>
      <c r="BP31" s="114">
        <f>('Книга допущений'!$C201*'Книга допущений'!$D201*'План продаж'!BQ$14)*'Книга допущений'!$B$19^Расходы!BP$10/1000*(1+Риски!$B$13)</f>
        <v>82.903702091857937</v>
      </c>
      <c r="BQ31" s="114">
        <f>('Книга допущений'!$C201*'Книга допущений'!$D201*'План продаж'!BR$14)*'Книга допущений'!$B$19^Расходы!BQ$10/1000*(1+Риски!$B$13)</f>
        <v>122.38165546893315</v>
      </c>
      <c r="BR31" s="114">
        <f>('Книга допущений'!$C201*'Книга допущений'!$D201*'План продаж'!BS$14)*'Книга допущений'!$B$19^Расходы!BR$10/1000*(1+Риски!$B$13)</f>
        <v>142.12063215747077</v>
      </c>
      <c r="BS31" s="114">
        <f>('Книга допущений'!$C201*'Книга допущений'!$D201*'План продаж'!BT$14)*'Книга допущений'!$B$19^Расходы!BS$10/1000*(1+Риски!$B$13)</f>
        <v>171.33431765650641</v>
      </c>
      <c r="BT31" s="114">
        <f>('Книга допущений'!$C201*'Книга допущений'!$D201*'План продаж'!BU$14)*'Книга допущений'!$B$19^Расходы!BT$10/1000*(1+Риски!$B$13)</f>
        <v>159.09615210961312</v>
      </c>
      <c r="BU31" s="114">
        <f>('Книга допущений'!$C201*'Книга допущений'!$D201*'План продаж'!BV$14)*'Книга допущений'!$B$19^Расходы!BU$10/1000*(1+Риски!$B$13)</f>
        <v>118.43386013122564</v>
      </c>
      <c r="BV31" s="114">
        <f>('Книга допущений'!$C201*'Книга допущений'!$D201*'План продаж'!BW$14)*'Книга допущений'!$B$19^Расходы!BV$10/1000*(1+Риски!$B$13)</f>
        <v>116.26257269548648</v>
      </c>
      <c r="BW31" s="114">
        <f>('Книга допущений'!$C201*'Книга допущений'!$D201*'План продаж'!BX$14)*'Книга допущений'!$B$19^Расходы!BW$10/1000*(1+Риски!$B$13)</f>
        <v>82.903702091857937</v>
      </c>
      <c r="BX31" s="114">
        <f>('Книга допущений'!$C201*'Книга допущений'!$D201*'План продаж'!BY$14)*'Книга допущений'!$B$19^Расходы!BX$10/1000*(1+Риски!$B$13)</f>
        <v>177.45340042995306</v>
      </c>
    </row>
    <row r="32" spans="1:76" s="43" customFormat="1" x14ac:dyDescent="0.25">
      <c r="A32" s="157" t="str">
        <f>'Книга допущений'!A205</f>
        <v>Продукты</v>
      </c>
      <c r="B32" s="114">
        <f>('Книга допущений'!$C205*'Книга допущений'!$D205*'План продаж'!C$15)*'Книга допущений'!$B$19^Расходы!B$10/1000</f>
        <v>0</v>
      </c>
      <c r="C32" s="114">
        <f>('Книга допущений'!$C205*'Книга допущений'!$D205*'План продаж'!D$15)*'Книга допущений'!$B$19^Расходы!C$10/1000</f>
        <v>0</v>
      </c>
      <c r="D32" s="114">
        <f>('Книга допущений'!$C205*'Книга допущений'!$D205*'План продаж'!E$15)*'Книга допущений'!$B$19^Расходы!D$10/1000</f>
        <v>0</v>
      </c>
      <c r="E32" s="114">
        <f>('Книга допущений'!$C205*'Книга допущений'!$D205*'План продаж'!F$15)*'Книга допущений'!$B$19^Расходы!E$10/1000</f>
        <v>0</v>
      </c>
      <c r="F32" s="114">
        <f>('Книга допущений'!$C205*'Книга допущений'!$D205*'План продаж'!G$15)*'Книга допущений'!$B$19^Расходы!F$10/1000</f>
        <v>0</v>
      </c>
      <c r="G32" s="114">
        <f>('Книга допущений'!$C205*'Книга допущений'!$D205*'План продаж'!H$15)*'Книга допущений'!$B$19^Расходы!G$10/1000</f>
        <v>0</v>
      </c>
      <c r="H32" s="114">
        <f>('Книга допущений'!$C205*'Книга допущений'!$D205*'План продаж'!I$15)*'Книга допущений'!$B$19^Расходы!H$10/1000</f>
        <v>0</v>
      </c>
      <c r="I32" s="114">
        <f>('Книга допущений'!$C205*'Книга допущений'!$D205*'План продаж'!J$15)*'Книга допущений'!$B$19^Расходы!I$10/1000</f>
        <v>0</v>
      </c>
      <c r="J32" s="114">
        <f>('Книга допущений'!$C205*'Книга допущений'!$D205*'План продаж'!K$15)*'Книга допущений'!$B$19^Расходы!J$10/1000</f>
        <v>0</v>
      </c>
      <c r="K32" s="114">
        <f>('Книга допущений'!$C205*'Книга допущений'!$D205*'План продаж'!L$15)*'Книга допущений'!$B$19^Расходы!K$10/1000</f>
        <v>246.44255999999996</v>
      </c>
      <c r="L32" s="114">
        <f>('Книга допущений'!$C205*'Книга допущений'!$D205*'План продаж'!M$15)*'Книга допущений'!$B$19^Расходы!L$10/1000</f>
        <v>251.72347200000004</v>
      </c>
      <c r="M32" s="114">
        <f>('Книга допущений'!$C205*'Книга допущений'!$D205*'План продаж'!N$15)*'Книга допущений'!$B$19^Расходы!M$10/1000</f>
        <v>204.42239999999998</v>
      </c>
      <c r="N32" s="114">
        <f>('Книга допущений'!$C205*'Книга допущений'!$D205*'План продаж'!O$15)*'Книга допущений'!$B$19^Расходы!N$10/1000</f>
        <v>217.39754400000001</v>
      </c>
      <c r="O32" s="114">
        <f>('Книга допущений'!$C205*'Книга допущений'!$D205*'План продаж'!P$15)*'Книга допущений'!$B$19^Расходы!O$10/1000</f>
        <v>166.94496000000004</v>
      </c>
      <c r="P32" s="114">
        <f>('Книга допущений'!$C205*'Книга допущений'!$D205*'План продаж'!Q$15)*'Книга допущений'!$B$19^Расходы!P$10/1000</f>
        <v>382.86612000000014</v>
      </c>
      <c r="Q32" s="114">
        <f>('Книга допущений'!$C205*'Книга допущений'!$D205*'План продаж'!R$15)*'Книга допущений'!$B$19^Расходы!Q$10/1000</f>
        <v>234.33166848000013</v>
      </c>
      <c r="R32" s="114">
        <f>('Книга допущений'!$C205*'Книга допущений'!$D205*'План продаж'!S$15)*'Книга допущений'!$B$19^Расходы!R$10/1000</f>
        <v>196.7724595200001</v>
      </c>
      <c r="S32" s="114">
        <f>('Книга допущений'!$C205*'Книга допущений'!$D205*'План продаж'!T$15)*'Книга допущений'!$B$19^Расходы!S$10/1000</f>
        <v>263.62312704000016</v>
      </c>
      <c r="T32" s="114">
        <f>('Книга допущений'!$C205*'Книга допущений'!$D205*'План продаж'!U$15)*'Книга допущений'!$B$19^Расходы!T$10/1000</f>
        <v>235.63088640000007</v>
      </c>
      <c r="U32" s="114">
        <f>('Книга допущений'!$C205*'Книга допущений'!$D205*'План продаж'!V$15)*'Книга допущений'!$B$19^Расходы!U$10/1000</f>
        <v>366.14323200000024</v>
      </c>
      <c r="V32" s="114">
        <f>('Книга допущений'!$C205*'Книга допущений'!$D205*'План продаж'!W$15)*'Книга допущений'!$B$19^Расходы!V$10/1000</f>
        <v>425.19859200000008</v>
      </c>
      <c r="W32" s="114">
        <f>('Книга допущений'!$C205*'Книга допущений'!$D205*'План продаж'!X$15)*'Книга допущений'!$B$19^Расходы!W$10/1000</f>
        <v>512.60052480000002</v>
      </c>
      <c r="X32" s="114">
        <f>('Книга допущений'!$C205*'Книга допущений'!$D205*'План продаж'!Y$15)*'Книга допущений'!$B$19^Расходы!X$10/1000</f>
        <v>475.98620160000002</v>
      </c>
      <c r="Y32" s="114">
        <f>('Книга допущений'!$C205*'Книга допущений'!$D205*'План продаж'!Z$15)*'Книга допущений'!$B$19^Расходы!Y$10/1000</f>
        <v>354.33215999999999</v>
      </c>
      <c r="Z32" s="114">
        <f>('Книга допущений'!$C205*'Книга допущений'!$D205*'План продаж'!AA$15)*'Книга допущений'!$B$19^Расходы!Z$10/1000</f>
        <v>347.83607039999998</v>
      </c>
      <c r="AA32" s="114">
        <f>('Книга допущений'!$C205*'Книга допущений'!$D205*'План продаж'!AB$15)*'Книга допущений'!$B$19^Расходы!AA$10/1000</f>
        <v>248.032512</v>
      </c>
      <c r="AB32" s="114">
        <f>('Книга допущений'!$C205*'Книга допущений'!$D205*'План продаж'!AC$15)*'Книга допущений'!$B$19^Расходы!AB$10/1000</f>
        <v>530.90768639999999</v>
      </c>
      <c r="AC32" s="114">
        <f>('Книга допущений'!$C205*'Книга допущений'!$D205*'План продаж'!AD$15)*'Книга допущений'!$B$19^Расходы!AC$10/1000</f>
        <v>304.63116902400009</v>
      </c>
      <c r="AD32" s="114">
        <f>('Книга допущений'!$C205*'Книга допущений'!$D205*'План продаж'!AE$15)*'Книга допущений'!$B$19^Расходы!AD$10/1000</f>
        <v>240.75689164799999</v>
      </c>
      <c r="AE32" s="114">
        <f>('Книга допущений'!$C205*'Книга допущений'!$D205*'План продаж'!AF$15)*'Книга допущений'!$B$19^Расходы!AE$10/1000</f>
        <v>304.63116902400009</v>
      </c>
      <c r="AF32" s="114">
        <f>('Книга допущений'!$C205*'Книга допущений'!$D205*'План продаж'!AG$15)*'Книга допущений'!$B$19^Расходы!AF$10/1000</f>
        <v>257.95381248000001</v>
      </c>
      <c r="AG32" s="114">
        <f>('Книга допущений'!$C205*'Книга допущений'!$D205*'План продаж'!AH$15)*'Книга допущений'!$B$19^Расходы!AG$10/1000</f>
        <v>380.78896128000002</v>
      </c>
      <c r="AH32" s="114">
        <f>('Книга допущений'!$C205*'Книга допущений'!$D205*'План продаж'!AI$15)*'Книга допущений'!$B$19^Расходы!AH$10/1000</f>
        <v>442.20653568</v>
      </c>
      <c r="AI32" s="114">
        <f>('Книга допущений'!$C205*'Книга допущений'!$D205*'План продаж'!AJ$15)*'Книга допущений'!$B$19^Расходы!AI$10/1000</f>
        <v>533.10454579200007</v>
      </c>
      <c r="AJ32" s="114">
        <f>('Книга допущений'!$C205*'Книга допущений'!$D205*'План продаж'!AK$15)*'Книга допущений'!$B$19^Расходы!AJ$10/1000</f>
        <v>495.02564966400001</v>
      </c>
      <c r="AK32" s="114">
        <f>('Книга допущений'!$C205*'Книга допущений'!$D205*'План продаж'!AL$15)*'Книга допущений'!$B$19^Расходы!AK$10/1000</f>
        <v>368.50544639999998</v>
      </c>
      <c r="AL32" s="114">
        <f>('Книга допущений'!$C205*'Книга допущений'!$D205*'План продаж'!AM$15)*'Книга допущений'!$B$19^Расходы!AL$10/1000</f>
        <v>361.74951321599991</v>
      </c>
      <c r="AM32" s="114">
        <f>('Книга допущений'!$C205*'Книга допущений'!$D205*'План продаж'!AN$15)*'Книга допущений'!$B$19^Расходы!AM$10/1000</f>
        <v>257.95381248000001</v>
      </c>
      <c r="AN32" s="114">
        <f>('Книга допущений'!$C205*'Книга допущений'!$D205*'План продаж'!AO$15)*'Книга допущений'!$B$19^Расходы!AN$10/1000</f>
        <v>552.14399385600007</v>
      </c>
      <c r="AO32" s="114">
        <f>('Книга допущений'!$C205*'Книга допущений'!$D205*'План продаж'!AP$15)*'Книга допущений'!$B$19^Расходы!AO$10/1000</f>
        <v>316.81641578496016</v>
      </c>
      <c r="AP32" s="114">
        <f>('Книга допущений'!$C205*'Книга допущений'!$D205*'План продаж'!AQ$15)*'Книга допущений'!$B$19^Расходы!AP$10/1000</f>
        <v>250.38716731392</v>
      </c>
      <c r="AQ32" s="114">
        <f>('Книга допущений'!$C205*'Книга допущений'!$D205*'План продаж'!AR$15)*'Книга допущений'!$B$19^Расходы!AQ$10/1000</f>
        <v>316.81641578496016</v>
      </c>
      <c r="AR32" s="114">
        <f>('Книга допущений'!$C205*'Книга допущений'!$D205*'План продаж'!AS$15)*'Книга допущений'!$B$19^Расходы!AR$10/1000</f>
        <v>268.27196497920005</v>
      </c>
      <c r="AS32" s="114">
        <f>('Книга допущений'!$C205*'Книга допущений'!$D205*'План продаж'!AT$15)*'Книга допущений'!$B$19^Расходы!AS$10/1000</f>
        <v>396.02051973120007</v>
      </c>
      <c r="AT32" s="114">
        <f>('Книга допущений'!$C205*'Книга допущений'!$D205*'План продаж'!AU$15)*'Книга допущений'!$B$19^Расходы!AT$10/1000</f>
        <v>459.89479710720008</v>
      </c>
      <c r="AU32" s="114">
        <f>('Книга допущений'!$C205*'Книга допущений'!$D205*'План продаж'!AV$15)*'Книга допущений'!$B$19^Расходы!AU$10/1000</f>
        <v>554.42872762368006</v>
      </c>
      <c r="AV32" s="114">
        <f>('Книга допущений'!$C205*'Книга допущений'!$D205*'План продаж'!AW$15)*'Книга допущений'!$B$19^Расходы!AV$10/1000</f>
        <v>514.82667565056011</v>
      </c>
      <c r="AW32" s="114">
        <f>('Книга допущений'!$C205*'Книга допущений'!$D205*'План продаж'!AX$15)*'Книга допущений'!$B$19^Расходы!AW$10/1000</f>
        <v>383.245664256</v>
      </c>
      <c r="AX32" s="114">
        <f>('Книга допущений'!$C205*'Книга допущений'!$D205*'План продаж'!AY$15)*'Книга допущений'!$B$19^Расходы!AX$10/1000</f>
        <v>376.21949374464003</v>
      </c>
      <c r="AY32" s="114">
        <f>('Книга допущений'!$C205*'Книга допущений'!$D205*'План продаж'!AZ$15)*'Книга допущений'!$B$19^Расходы!AY$10/1000</f>
        <v>268.27196497920005</v>
      </c>
      <c r="AZ32" s="114">
        <f>('Книга допущений'!$C205*'Книга допущений'!$D205*'План продаж'!BA$15)*'Книга допущений'!$B$19^Расходы!AZ$10/1000</f>
        <v>574.2297536102401</v>
      </c>
      <c r="BA32" s="114">
        <f>('Книга допущений'!$C205*'Книга допущений'!$D205*'План продаж'!BB$15)*'Книга допущений'!$B$19^Расходы!BA$10/1000</f>
        <v>329.48907241635857</v>
      </c>
      <c r="BB32" s="114">
        <f>('Книга допущений'!$C205*'Книга допущений'!$D205*'План продаж'!BC$15)*'Книга допущений'!$B$19^Расходы!BB$10/1000</f>
        <v>260.40265400647684</v>
      </c>
      <c r="BC32" s="114">
        <f>('Книга допущений'!$C205*'Книга допущений'!$D205*'План продаж'!BD$15)*'Книга допущений'!$B$19^Расходы!BC$10/1000</f>
        <v>329.48907241635857</v>
      </c>
      <c r="BD32" s="114">
        <f>('Книга допущений'!$C205*'Книга допущений'!$D205*'План продаж'!BE$15)*'Книга допущений'!$B$19^Расходы!BD$10/1000</f>
        <v>279.00284357836802</v>
      </c>
      <c r="BE32" s="114">
        <f>('Книга допущений'!$C205*'Книга допущений'!$D205*'План продаж'!BF$15)*'Книга допущений'!$B$19^Расходы!BE$10/1000</f>
        <v>411.8613405204481</v>
      </c>
      <c r="BF32" s="114">
        <f>('Книга допущений'!$C205*'Книга допущений'!$D205*'План продаж'!BG$15)*'Книга допущений'!$B$19^Расходы!BF$10/1000</f>
        <v>478.29058899148816</v>
      </c>
      <c r="BG32" s="114">
        <f>('Книга допущений'!$C205*'Книга допущений'!$D205*'План продаж'!BH$15)*'Книга допущений'!$B$19^Расходы!BG$10/1000</f>
        <v>576.60587672862721</v>
      </c>
      <c r="BH32" s="114">
        <f>('Книга допущений'!$C205*'Книга допущений'!$D205*'План продаж'!BI$15)*'Книга допущений'!$B$19^Расходы!BH$10/1000</f>
        <v>535.41974267658259</v>
      </c>
      <c r="BI32" s="114">
        <f>('Книга допущений'!$C205*'Книга допущений'!$D205*'План продаж'!BJ$15)*'Книга допущений'!$B$19^Расходы!BI$10/1000</f>
        <v>398.57549082624007</v>
      </c>
      <c r="BJ32" s="114">
        <f>('Книга допущений'!$C205*'Книга допущений'!$D205*'План продаж'!BK$15)*'Книга допущений'!$B$19^Расходы!BJ$10/1000</f>
        <v>391.26827349442561</v>
      </c>
      <c r="BK32" s="114">
        <f>('Книга допущений'!$C205*'Книга допущений'!$D205*'План продаж'!BL$15)*'Книга допущений'!$B$19^Расходы!BK$10/1000</f>
        <v>279.00284357836802</v>
      </c>
      <c r="BL32" s="114">
        <f>('Книга допущений'!$C205*'Книга допущений'!$D205*'План продаж'!BM$15)*'Книга допущений'!$B$19^Расходы!BL$10/1000</f>
        <v>597.19894375464969</v>
      </c>
      <c r="BM32" s="114">
        <f>('Книга допущений'!$C205*'Книга допущений'!$D205*'План продаж'!BN$15)*'Книга допущений'!$B$19^Расходы!BM$10/1000</f>
        <v>342.66863531301294</v>
      </c>
      <c r="BN32" s="114">
        <f>('Книга допущений'!$C205*'Книга допущений'!$D205*'План продаж'!BO$15)*'Книга допущений'!$B$19^Расходы!BN$10/1000</f>
        <v>270.8187601667359</v>
      </c>
      <c r="BO32" s="114">
        <f>('Книга допущений'!$C205*'Книга допущений'!$D205*'План продаж'!BP$15)*'Книга допущений'!$B$19^Расходы!BO$10/1000</f>
        <v>342.66863531301294</v>
      </c>
      <c r="BP32" s="114">
        <f>('Книга допущений'!$C205*'Книга допущений'!$D205*'План продаж'!BQ$15)*'Книга допущений'!$B$19^Расходы!BP$10/1000</f>
        <v>290.1629573215028</v>
      </c>
      <c r="BQ32" s="114">
        <f>('Книга допущений'!$C205*'Книга допущений'!$D205*'План продаж'!BR$15)*'Книга допущений'!$B$19^Расходы!BQ$10/1000</f>
        <v>428.33579414126604</v>
      </c>
      <c r="BR32" s="114">
        <f>('Книга допущений'!$C205*'Книга допущений'!$D205*'План продаж'!BS$15)*'Книга допущений'!$B$19^Расходы!BR$10/1000</f>
        <v>497.42221255114765</v>
      </c>
      <c r="BS32" s="114">
        <f>('Книга допущений'!$C205*'Книга допущений'!$D205*'План продаж'!BT$15)*'Книга допущений'!$B$19^Расходы!BS$10/1000</f>
        <v>599.67011179777239</v>
      </c>
      <c r="BT32" s="114">
        <f>('Книга допущений'!$C205*'Книга допущений'!$D205*'План продаж'!BU$15)*'Книга допущений'!$B$19^Расходы!BT$10/1000</f>
        <v>556.83653238364593</v>
      </c>
      <c r="BU32" s="114">
        <f>('Книга допущений'!$C205*'Книга допущений'!$D205*'План продаж'!BV$15)*'Книга допущений'!$B$19^Расходы!BU$10/1000</f>
        <v>414.51851045928964</v>
      </c>
      <c r="BV32" s="114">
        <f>('Книга допущений'!$C205*'Книга допущений'!$D205*'План продаж'!BW$15)*'Книга допущений'!$B$19^Расходы!BV$10/1000</f>
        <v>406.91900443420269</v>
      </c>
      <c r="BW32" s="114">
        <f>('Книга допущений'!$C205*'Книга допущений'!$D205*'План продаж'!BX$15)*'Книга допущений'!$B$19^Расходы!BW$10/1000</f>
        <v>290.1629573215028</v>
      </c>
      <c r="BX32" s="114">
        <f>('Книга допущений'!$C205*'Книга допущений'!$D205*'План продаж'!BY$15)*'Книга допущений'!$B$19^Расходы!BX$10/1000</f>
        <v>621.08690150483585</v>
      </c>
    </row>
    <row r="33" spans="1:76" s="43" customFormat="1" x14ac:dyDescent="0.25">
      <c r="A33" s="157" t="str">
        <f>'Книга допущений'!A206</f>
        <v>Расходные материалы</v>
      </c>
      <c r="B33" s="114">
        <f>('Книга допущений'!$C206*'Книга допущений'!$D206*'План продаж'!C$15+'Книга допущений'!$C214*'Книга допущений'!$D214*'План продаж'!C$18)*'Книга допущений'!$B$19^Расходы!B$10/1000</f>
        <v>0</v>
      </c>
      <c r="C33" s="114">
        <f>('Книга допущений'!$C206*'Книга допущений'!$D206*'План продаж'!D$15+'Книга допущений'!$C214*'Книга допущений'!$D214*'План продаж'!D$18)*'Книга допущений'!$B$19^Расходы!C$10/1000</f>
        <v>0</v>
      </c>
      <c r="D33" s="114">
        <f>('Книга допущений'!$C206*'Книга допущений'!$D206*'План продаж'!E$15+'Книга допущений'!$C214*'Книга допущений'!$D214*'План продаж'!E$18)*'Книга допущений'!$B$19^Расходы!D$10/1000</f>
        <v>0</v>
      </c>
      <c r="E33" s="114">
        <f>('Книга допущений'!$C206*'Книга допущений'!$D206*'План продаж'!F$15+'Книга допущений'!$C214*'Книга допущений'!$D214*'План продаж'!F$18)*'Книга допущений'!$B$19^Расходы!E$10/1000</f>
        <v>0</v>
      </c>
      <c r="F33" s="114">
        <f>('Книга допущений'!$C206*'Книга допущений'!$D206*'План продаж'!G$15+'Книга допущений'!$C214*'Книга допущений'!$D214*'План продаж'!G$18)*'Книга допущений'!$B$19^Расходы!F$10/1000</f>
        <v>0</v>
      </c>
      <c r="G33" s="114">
        <f>('Книга допущений'!$C206*'Книга допущений'!$D206*'План продаж'!H$15+'Книга допущений'!$C214*'Книга допущений'!$D214*'План продаж'!H$18)*'Книга допущений'!$B$19^Расходы!G$10/1000</f>
        <v>0</v>
      </c>
      <c r="H33" s="114">
        <f>('Книга допущений'!$C206*'Книга допущений'!$D206*'План продаж'!I$15+'Книга допущений'!$C214*'Книга допущений'!$D214*'План продаж'!I$18)*'Книга допущений'!$B$19^Расходы!H$10/1000</f>
        <v>0</v>
      </c>
      <c r="I33" s="114">
        <f>('Книга допущений'!$C206*'Книга допущений'!$D206*'План продаж'!J$15+'Книга допущений'!$C214*'Книга допущений'!$D214*'План продаж'!J$18)*'Книга допущений'!$B$19^Расходы!I$10/1000</f>
        <v>0</v>
      </c>
      <c r="J33" s="114">
        <f>('Книга допущений'!$C206*'Книга допущений'!$D206*'План продаж'!K$15+'Книга допущений'!$C214*'Книга допущений'!$D214*'План продаж'!K$18)*'Книга допущений'!$B$19^Расходы!J$10/1000</f>
        <v>0</v>
      </c>
      <c r="K33" s="114">
        <f>('Книга допущений'!$C206*'Книга допущений'!$D206*'План продаж'!L$15+'Книга допущений'!$C214*'Книга допущений'!$D214*'План продаж'!L$18)*'Книга допущений'!$B$19^Расходы!K$10/1000</f>
        <v>58.911507199999996</v>
      </c>
      <c r="L33" s="114">
        <f>('Книга допущений'!$C206*'Книга допущений'!$D206*'План продаж'!M$15+'Книга допущений'!$C214*'Книга допущений'!$D214*'План продаж'!M$18)*'Книга допущений'!$B$19^Расходы!L$10/1000</f>
        <v>60.173896640000017</v>
      </c>
      <c r="M33" s="114">
        <f>('Книга допущений'!$C206*'Книга допущений'!$D206*'План продаж'!N$15+'Книга допущений'!$C214*'Книга допущений'!$D214*'План продаж'!N$18)*'Книга допущений'!$B$19^Расходы!M$10/1000</f>
        <v>48.866688000000011</v>
      </c>
      <c r="N33" s="114">
        <f>('Книга допущений'!$C206*'Книга допущений'!$D206*'План продаж'!O$15+'Книга допущений'!$C214*'Книга допущений'!$D214*'План продаж'!O$18)*'Книга допущений'!$B$19^Расходы!N$10/1000</f>
        <v>51.968365280000015</v>
      </c>
      <c r="O33" s="114">
        <f>('Книга допущений'!$C206*'Книга допущений'!$D206*'План продаж'!P$15+'Книга допущений'!$C214*'Книга допущений'!$D214*'План продаж'!P$18)*'Книга допущений'!$B$19^Расходы!O$10/1000</f>
        <v>39.90779520000001</v>
      </c>
      <c r="P33" s="114">
        <f>('Книга допущений'!$C206*'Книга допущений'!$D206*'План продаж'!Q$15+'Книга допущений'!$C214*'Книга допущений'!$D214*'План продаж'!Q$18)*'Книга допущений'!$B$19^Расходы!P$10/1000</f>
        <v>91.523234400000021</v>
      </c>
      <c r="Q33" s="114">
        <f>('Книга допущений'!$C206*'Книга допущений'!$D206*'План продаж'!R$15+'Книга допущений'!$C214*'Книга допущений'!$D214*'План продаж'!R$18)*'Книга допущений'!$B$19^Расходы!Q$10/1000</f>
        <v>56.016427417600028</v>
      </c>
      <c r="R33" s="114">
        <f>('Книга допущений'!$C206*'Книга допущений'!$D206*'План продаж'!S$15+'Книга допущений'!$C214*'Книга допущений'!$D214*'План продаж'!S$18)*'Книга допущений'!$B$19^Расходы!R$10/1000</f>
        <v>47.037987942400015</v>
      </c>
      <c r="S33" s="114">
        <f>('Книга допущений'!$C206*'Книга допущений'!$D206*'План продаж'!T$15+'Книга допущений'!$C214*'Книга допущений'!$D214*'План продаж'!T$18)*'Книга допущений'!$B$19^Расходы!S$10/1000</f>
        <v>63.018480844800031</v>
      </c>
      <c r="T33" s="114">
        <f>('Книга допущений'!$C206*'Книга допущений'!$D206*'План продаж'!U$15+'Книга допущений'!$C214*'Книга допущений'!$D214*'План продаж'!U$18)*'Книга допущений'!$B$19^Расходы!T$10/1000</f>
        <v>56.327002368000024</v>
      </c>
      <c r="U33" s="114">
        <f>('Книга допущений'!$C206*'Книга допущений'!$D206*'План продаж'!V$15+'Книга допущений'!$C214*'Книга допущений'!$D214*'План продаж'!V$18)*'Книга допущений'!$B$19^Расходы!U$10/1000</f>
        <v>87.525667840000068</v>
      </c>
      <c r="V33" s="114">
        <f>('Книга допущений'!$C206*'Книга допущений'!$D206*'План продаж'!W$15+'Книга допущений'!$C214*'Книга допущений'!$D214*'План продаж'!W$18)*'Книга допущений'!$B$19^Расходы!V$10/1000</f>
        <v>101.64271104000001</v>
      </c>
      <c r="W33" s="114">
        <f>('Книга допущений'!$C206*'Книга допущений'!$D206*'План продаж'!X$15+'Книга допущений'!$C214*'Книга допущений'!$D214*'План продаж'!X$18)*'Книга допущений'!$B$19^Расходы!W$10/1000</f>
        <v>122.53593497600001</v>
      </c>
      <c r="X33" s="114">
        <f>('Книга допущений'!$C206*'Книга допущений'!$D206*'План продаж'!Y$15+'Книга допущений'!$C214*'Книга допущений'!$D214*'План продаж'!Y$18)*'Книга допущений'!$B$19^Расходы!X$10/1000</f>
        <v>113.78336819200003</v>
      </c>
      <c r="Y33" s="114">
        <f>('Книга допущений'!$C206*'Книга допущений'!$D206*'План продаж'!Z$15+'Книга допущений'!$C214*'Книга допущений'!$D214*'План продаж'!Z$18)*'Книга допущений'!$B$19^Расходы!Y$10/1000</f>
        <v>84.702259200000015</v>
      </c>
      <c r="Z33" s="114">
        <f>('Книга допущений'!$C206*'Книга допущений'!$D206*'План продаж'!AA$15+'Книга допущений'!$C214*'Книга допущений'!$D214*'План продаж'!AA$18)*'Книга допущений'!$B$19^Расходы!Z$10/1000</f>
        <v>83.149384448000006</v>
      </c>
      <c r="AA33" s="114">
        <f>('Книга допущений'!$C206*'Книга допущений'!$D206*'План продаж'!AB$15+'Книга допущений'!$C214*'Книга допущений'!$D214*'План продаж'!AB$18)*'Книга допущений'!$B$19^Расходы!AA$10/1000</f>
        <v>59.291581440000002</v>
      </c>
      <c r="AB33" s="114">
        <f>('Книга допущений'!$C206*'Книга допущений'!$D206*'План продаж'!AC$15+'Книга допущений'!$C214*'Книга допущений'!$D214*'План продаж'!AC$18)*'Книга допущений'!$B$19^Расходы!AB$10/1000</f>
        <v>126.91221836800001</v>
      </c>
      <c r="AC33" s="114">
        <f>('Книга допущений'!$C206*'Книга допущений'!$D206*'План продаж'!AD$15+'Книга допущений'!$C214*'Книга допущений'!$D214*'План продаж'!AD$18)*'Книга допущений'!$B$19^Расходы!AC$10/1000</f>
        <v>72.821355642880022</v>
      </c>
      <c r="AD33" s="114">
        <f>('Книга допущений'!$C206*'Книга допущений'!$D206*'План продаж'!AE$15+'Книга допущений'!$C214*'Книга допущений'!$D214*'План продаж'!AE$18)*'Книга допущений'!$B$19^Расходы!AD$10/1000</f>
        <v>57.55236171776</v>
      </c>
      <c r="AE33" s="114">
        <f>('Книга допущений'!$C206*'Книга допущений'!$D206*'План продаж'!AF$15+'Книга допущений'!$C214*'Книга допущений'!$D214*'План продаж'!AF$18)*'Книга допущений'!$B$19^Расходы!AE$10/1000</f>
        <v>72.821355642880022</v>
      </c>
      <c r="AF33" s="114">
        <f>('Книга допущений'!$C206*'Книга допущений'!$D206*'План продаж'!AG$15+'Книга допущений'!$C214*'Книга допущений'!$D214*'План продаж'!AG$18)*'Книга допущений'!$B$19^Расходы!AF$10/1000</f>
        <v>61.6632446976</v>
      </c>
      <c r="AG33" s="114">
        <f>('Книга допущений'!$C206*'Книга допущений'!$D206*'План продаж'!AH$15+'Книга допущений'!$C214*'Книга допущений'!$D214*'План продаж'!AH$18)*'Книга допущений'!$B$19^Расходы!AG$10/1000</f>
        <v>91.026694553599995</v>
      </c>
      <c r="AH33" s="114">
        <f>('Книга допущений'!$C206*'Книга допущений'!$D206*'План продаж'!AI$15+'Книга допущений'!$C214*'Книга допущений'!$D214*'План продаж'!AI$18)*'Книга допущений'!$B$19^Расходы!AH$10/1000</f>
        <v>105.70841948159999</v>
      </c>
      <c r="AI33" s="114">
        <f>('Книга допущений'!$C206*'Книга допущений'!$D206*'План продаж'!AJ$15+'Книга допущений'!$C214*'Книга допущений'!$D214*'План продаж'!AJ$18)*'Книга допущений'!$B$19^Расходы!AI$10/1000</f>
        <v>127.43737237504</v>
      </c>
      <c r="AJ33" s="114">
        <f>('Книга допущений'!$C206*'Книга допущений'!$D206*'План продаж'!AK$15+'Книга допущений'!$C214*'Книга допущений'!$D214*'План продаж'!AK$18)*'Книга допущений'!$B$19^Расходы!AJ$10/1000</f>
        <v>118.33470291968001</v>
      </c>
      <c r="AK33" s="114">
        <f>('Книга допущений'!$C206*'Книга допущений'!$D206*'План продаж'!AL$15+'Книга допущений'!$C214*'Книга допущений'!$D214*'План продаж'!AL$18)*'Книга допущений'!$B$19^Расходы!AK$10/1000</f>
        <v>88.090349568000008</v>
      </c>
      <c r="AL33" s="114">
        <f>('Книга допущений'!$C206*'Книга допущений'!$D206*'План продаж'!AM$15+'Книга допущений'!$C214*'Книга допущений'!$D214*'План продаж'!AM$18)*'Книга допущений'!$B$19^Расходы!AL$10/1000</f>
        <v>86.475359825920009</v>
      </c>
      <c r="AM33" s="114">
        <f>('Книга допущений'!$C206*'Книга допущений'!$D206*'План продаж'!AN$15+'Книга допущений'!$C214*'Книга допущений'!$D214*'План продаж'!AN$18)*'Книга допущений'!$B$19^Расходы!AM$10/1000</f>
        <v>61.6632446976</v>
      </c>
      <c r="AN33" s="114">
        <f>('Книга допущений'!$C206*'Книга допущений'!$D206*'План продаж'!AO$15+'Книга допущений'!$C214*'Книга допущений'!$D214*'План продаж'!AO$18)*'Книга допущений'!$B$19^Расходы!AN$10/1000</f>
        <v>131.98870710272001</v>
      </c>
      <c r="AO33" s="114">
        <f>('Книга допущений'!$C206*'Книга допущений'!$D206*'План продаж'!AP$15+'Книга допущений'!$C214*'Книга допущений'!$D214*'План продаж'!AP$18)*'Книга допущений'!$B$19^Расходы!AO$10/1000</f>
        <v>75.734209868595229</v>
      </c>
      <c r="AP33" s="114">
        <f>('Книга допущений'!$C206*'Книга допущений'!$D206*'План продаж'!AQ$15+'Книга допущений'!$C214*'Книга допущений'!$D214*'План продаж'!AQ$18)*'Книга допущений'!$B$19^Расходы!AP$10/1000</f>
        <v>59.854456186470408</v>
      </c>
      <c r="AQ33" s="114">
        <f>('Книга допущений'!$C206*'Книга допущений'!$D206*'План продаж'!AR$15+'Книга допущений'!$C214*'Книга допущений'!$D214*'План продаж'!AR$18)*'Книга допущений'!$B$19^Расходы!AQ$10/1000</f>
        <v>75.734209868595229</v>
      </c>
      <c r="AR33" s="114">
        <f>('Книга допущений'!$C206*'Книга допущений'!$D206*'План продаж'!AS$15+'Книга допущений'!$C214*'Книга допущений'!$D214*'План продаж'!AS$18)*'Книга допущений'!$B$19^Расходы!AR$10/1000</f>
        <v>64.129774485504001</v>
      </c>
      <c r="AS33" s="114">
        <f>('Книга допущений'!$C206*'Книга допущений'!$D206*'План продаж'!AT$15+'Книга допущений'!$C214*'Книга допущений'!$D214*'План продаж'!AT$18)*'Книга допущений'!$B$19^Расходы!AS$10/1000</f>
        <v>94.667762335744015</v>
      </c>
      <c r="AT33" s="114">
        <f>('Книга допущений'!$C206*'Книга допущений'!$D206*'План продаж'!AU$15+'Книга допущений'!$C214*'Книга допущений'!$D214*'План продаж'!AU$18)*'Книга допущений'!$B$19^Расходы!AT$10/1000</f>
        <v>109.93675626086402</v>
      </c>
      <c r="AU33" s="114">
        <f>('Книга допущений'!$C206*'Книга допущений'!$D206*'План продаж'!AV$15+'Книга допущений'!$C214*'Книга допущений'!$D214*'План продаж'!AV$18)*'Книга допущений'!$B$19^Расходы!AU$10/1000</f>
        <v>132.53486727004162</v>
      </c>
      <c r="AV33" s="114">
        <f>('Книга допущений'!$C206*'Книга допущений'!$D206*'План продаж'!AW$15+'Книга допущений'!$C214*'Книга допущений'!$D214*'План продаж'!AW$18)*'Книга допущений'!$B$19^Расходы!AV$10/1000</f>
        <v>123.06809103646724</v>
      </c>
      <c r="AW33" s="114">
        <f>('Книга допущений'!$C206*'Книга допущений'!$D206*'План продаж'!AX$15+'Книга допущений'!$C214*'Книга допущений'!$D214*'План продаж'!AX$18)*'Книга допущений'!$B$19^Расходы!AW$10/1000</f>
        <v>91.613963550720015</v>
      </c>
      <c r="AX33" s="114">
        <f>('Книга допущений'!$C206*'Книга допущений'!$D206*'План продаж'!AY$15+'Книга допущений'!$C214*'Книга допущений'!$D214*'План продаж'!AY$18)*'Книга допущений'!$B$19^Расходы!AX$10/1000</f>
        <v>89.934374218956819</v>
      </c>
      <c r="AY33" s="114">
        <f>('Книга допущений'!$C206*'Книга допущений'!$D206*'План продаж'!AZ$15+'Книга допущений'!$C214*'Книга допущений'!$D214*'План продаж'!AZ$18)*'Книга допущений'!$B$19^Расходы!AY$10/1000</f>
        <v>64.129774485504001</v>
      </c>
      <c r="AZ33" s="114">
        <f>('Книга допущений'!$C206*'Книга допущений'!$D206*'План продаж'!BA$15+'Книга допущений'!$C214*'Книга допущений'!$D214*'План продаж'!BA$18)*'Книга допущений'!$B$19^Расходы!AZ$10/1000</f>
        <v>137.26825538682883</v>
      </c>
      <c r="BA33" s="114">
        <f>('Книга допущений'!$C206*'Книга допущений'!$D206*'План продаж'!BB$15+'Книга допущений'!$C214*'Книга допущений'!$D214*'План продаж'!BB$18)*'Книга допущений'!$B$19^Расходы!BA$10/1000</f>
        <v>78.763578263339042</v>
      </c>
      <c r="BB33" s="114">
        <f>('Книга допущений'!$C206*'Книга допущений'!$D206*'План продаж'!BC$15+'Книга допущений'!$C214*'Книга допущений'!$D214*'План продаж'!BC$18)*'Книга допущений'!$B$19^Расходы!BB$10/1000</f>
        <v>62.248634433929226</v>
      </c>
      <c r="BC33" s="114">
        <f>('Книга допущений'!$C206*'Книга допущений'!$D206*'План продаж'!BD$15+'Книга допущений'!$C214*'Книга допущений'!$D214*'План продаж'!BD$18)*'Книга допущений'!$B$19^Расходы!BC$10/1000</f>
        <v>78.763578263339042</v>
      </c>
      <c r="BD33" s="114">
        <f>('Книга допущений'!$C206*'Книга допущений'!$D206*'План продаж'!BE$15+'Книга допущений'!$C214*'Книга допущений'!$D214*'План продаж'!BE$18)*'Книга допущений'!$B$19^Расходы!BD$10/1000</f>
        <v>66.694965464924167</v>
      </c>
      <c r="BE33" s="114">
        <f>('Книга допущений'!$C206*'Книга допущений'!$D206*'План продаж'!BF$15+'Книга допущений'!$C214*'Книга допущений'!$D214*'План продаж'!BF$18)*'Книга допущений'!$B$19^Расходы!BE$10/1000</f>
        <v>98.454472829173781</v>
      </c>
      <c r="BF33" s="114">
        <f>('Книга допущений'!$C206*'Книга допущений'!$D206*'План продаж'!BG$15+'Книга допущений'!$C214*'Книга допущений'!$D214*'План продаж'!BG$18)*'Книга допущений'!$B$19^Расходы!BF$10/1000</f>
        <v>114.3342265112986</v>
      </c>
      <c r="BG33" s="114">
        <f>('Книга допущений'!$C206*'Книга допущений'!$D206*'План продаж'!BH$15+'Книга допущений'!$C214*'Книга допущений'!$D214*'План продаж'!BH$18)*'Книга допущений'!$B$19^Расходы!BG$10/1000</f>
        <v>137.83626196084327</v>
      </c>
      <c r="BH33" s="114">
        <f>('Книга допущений'!$C206*'Книга допущений'!$D206*'План продаж'!BI$15+'Книга допущений'!$C214*'Книга допущений'!$D214*'План продаж'!BI$18)*'Книга допущений'!$B$19^Расходы!BH$10/1000</f>
        <v>127.99081467792594</v>
      </c>
      <c r="BI33" s="114">
        <f>('Книга допущений'!$C206*'Книга допущений'!$D206*'План продаж'!BJ$15+'Книга допущений'!$C214*'Книга допущений'!$D214*'План продаж'!BJ$18)*'Книга допущений'!$B$19^Расходы!BI$10/1000</f>
        <v>95.27852209274883</v>
      </c>
      <c r="BJ33" s="114">
        <f>('Книга допущений'!$C206*'Книга допущений'!$D206*'План продаж'!BK$15+'Книга допущений'!$C214*'Книга допущений'!$D214*'План продаж'!BK$18)*'Книга допущений'!$B$19^Расходы!BJ$10/1000</f>
        <v>93.531749187715107</v>
      </c>
      <c r="BK33" s="114">
        <f>('Книга допущений'!$C206*'Книга допущений'!$D206*'План продаж'!BL$15+'Книга допущений'!$C214*'Книга допущений'!$D214*'План продаж'!BL$18)*'Книга допущений'!$B$19^Расходы!BK$10/1000</f>
        <v>66.694965464924167</v>
      </c>
      <c r="BL33" s="114">
        <f>('Книга допущений'!$C206*'Книга допущений'!$D206*'План продаж'!BM$15+'Книга допущений'!$C214*'Книга допущений'!$D214*'План продаж'!BM$18)*'Книга допущений'!$B$19^Расходы!BL$10/1000</f>
        <v>142.75898560230198</v>
      </c>
      <c r="BM33" s="114">
        <f>('Книга допущений'!$C206*'Книга допущений'!$D206*'План продаж'!BN$15+'Книга допущений'!$C214*'Книга допущений'!$D214*'План продаж'!BN$18)*'Книга допущений'!$B$19^Расходы!BM$10/1000</f>
        <v>81.91412139387262</v>
      </c>
      <c r="BN33" s="114">
        <f>('Книга допущений'!$C206*'Книга допущений'!$D206*'План продаж'!BO$15+'Книга допущений'!$C214*'Книга допущений'!$D214*'План продаж'!BO$18)*'Книга допущений'!$B$19^Расходы!BN$10/1000</f>
        <v>64.738579811286399</v>
      </c>
      <c r="BO33" s="114">
        <f>('Книга допущений'!$C206*'Книга допущений'!$D206*'План продаж'!BP$15+'Книга допущений'!$C214*'Книга допущений'!$D214*'План продаж'!BP$18)*'Книга допущений'!$B$19^Расходы!BO$10/1000</f>
        <v>81.91412139387262</v>
      </c>
      <c r="BP33" s="114">
        <f>('Книга допущений'!$C206*'Книга допущений'!$D206*'План продаж'!BQ$15+'Книга допущений'!$C214*'Книга допущений'!$D214*'План продаж'!BQ$18)*'Книга допущений'!$B$19^Расходы!BP$10/1000</f>
        <v>69.362764083521128</v>
      </c>
      <c r="BQ33" s="114">
        <f>('Книга допущений'!$C206*'Книга допущений'!$D206*'План продаж'!BR$15+'Книга допущений'!$C214*'Книга допущений'!$D214*'План продаж'!BR$18)*'Книга допущений'!$B$19^Расходы!BQ$10/1000</f>
        <v>102.39265174234073</v>
      </c>
      <c r="BR33" s="114">
        <f>('Книга допущений'!$C206*'Книга допущений'!$D206*'План продаж'!BS$15+'Книга допущений'!$C214*'Книга допущений'!$D214*'План продаж'!BS$18)*'Книга допущений'!$B$19^Расходы!BR$10/1000</f>
        <v>118.90759557175053</v>
      </c>
      <c r="BS33" s="114">
        <f>('Книга допущений'!$C206*'Книга допущений'!$D206*'План продаж'!BT$15+'Книга допущений'!$C214*'Книга допущений'!$D214*'План продаж'!BT$18)*'Книга допущений'!$B$19^Расходы!BS$10/1000</f>
        <v>143.349712439277</v>
      </c>
      <c r="BT33" s="114">
        <f>('Книга допущений'!$C206*'Книга допущений'!$D206*'План продаж'!BU$15+'Книга допущений'!$C214*'Книга допущений'!$D214*'План продаж'!BU$18)*'Книга допущений'!$B$19^Расходы!BT$10/1000</f>
        <v>133.11044726504298</v>
      </c>
      <c r="BU33" s="114">
        <f>('Книга допущений'!$C206*'Книга допущений'!$D206*'План продаж'!BV$15+'Книга допущений'!$C214*'Книга допущений'!$D214*'План продаж'!BV$18)*'Книга допущений'!$B$19^Расходы!BU$10/1000</f>
        <v>99.089662976458783</v>
      </c>
      <c r="BV33" s="114">
        <f>('Книга допущений'!$C206*'Книга допущений'!$D206*'План продаж'!BW$15+'Книга допущений'!$C214*'Книга допущений'!$D214*'План продаж'!BW$18)*'Книга допущений'!$B$19^Расходы!BV$10/1000</f>
        <v>97.273019155223707</v>
      </c>
      <c r="BW33" s="114">
        <f>('Книга допущений'!$C206*'Книга допущений'!$D206*'План продаж'!BX$15+'Книга допущений'!$C214*'Книга допущений'!$D214*'План продаж'!BX$18)*'Книга допущений'!$B$19^Расходы!BW$10/1000</f>
        <v>69.362764083521128</v>
      </c>
      <c r="BX33" s="114">
        <f>('Книга допущений'!$C206*'Книга допущений'!$D206*'План продаж'!BY$15+'Книга допущений'!$C214*'Книга допущений'!$D214*'План продаж'!BY$18)*'Книга допущений'!$B$19^Расходы!BX$10/1000</f>
        <v>148.46934502639405</v>
      </c>
    </row>
    <row r="34" spans="1:76" s="43" customFormat="1" x14ac:dyDescent="0.25">
      <c r="A34" s="157" t="str">
        <f>'Книга допущений'!$A$212</f>
        <v>Ремонт и обновление спорт-инвентаря</v>
      </c>
      <c r="B34" s="114">
        <f>('Книга допущений'!$C212*'Книга допущений'!$D212*'План продаж'!C$17)*'Книга допущений'!$B$19^Расходы!B$10/1000</f>
        <v>0</v>
      </c>
      <c r="C34" s="114">
        <f>('Книга допущений'!$C212*'Книга допущений'!$D212*'План продаж'!D$17)*'Книга допущений'!$B$19^Расходы!C$10/1000</f>
        <v>0</v>
      </c>
      <c r="D34" s="114">
        <f>('Книга допущений'!$C212*'Книга допущений'!$D212*'План продаж'!E$17)*'Книга допущений'!$B$19^Расходы!D$10/1000</f>
        <v>0</v>
      </c>
      <c r="E34" s="114">
        <f>('Книга допущений'!$C212*'Книга допущений'!$D212*'План продаж'!F$17)*'Книга допущений'!$B$19^Расходы!E$10/1000</f>
        <v>0</v>
      </c>
      <c r="F34" s="114">
        <f>('Книга допущений'!$C212*'Книга допущений'!$D212*'План продаж'!G$17)*'Книга допущений'!$B$19^Расходы!F$10/1000</f>
        <v>0</v>
      </c>
      <c r="G34" s="114">
        <f>('Книга допущений'!$C212*'Книга допущений'!$D212*'План продаж'!H$17)*'Книга допущений'!$B$19^Расходы!G$10/1000</f>
        <v>0</v>
      </c>
      <c r="H34" s="114">
        <f>('Книга допущений'!$C212*'Книга допущений'!$D212*'План продаж'!I$17)*'Книга допущений'!$B$19^Расходы!H$10/1000</f>
        <v>0</v>
      </c>
      <c r="I34" s="114">
        <f>('Книга допущений'!$C212*'Книга допущений'!$D212*'План продаж'!J$17)*'Книга допущений'!$B$19^Расходы!I$10/1000</f>
        <v>0</v>
      </c>
      <c r="J34" s="114">
        <f>('Книга допущений'!$C212*'Книга допущений'!$D212*'План продаж'!K$17)*'Книга допущений'!$B$19^Расходы!J$10/1000</f>
        <v>0</v>
      </c>
      <c r="K34" s="114">
        <f>('Книга допущений'!$C212*'Книга допущений'!$D212*'План продаж'!L$17)*'Книга допущений'!$B$19^Расходы!K$10/1000</f>
        <v>5.6329727999999992</v>
      </c>
      <c r="L34" s="114">
        <f>('Книга допущений'!$C212*'Книга допущений'!$D212*'План продаж'!M$17)*'Книга допущений'!$B$19^Расходы!L$10/1000</f>
        <v>5.7536793600000014</v>
      </c>
      <c r="M34" s="114">
        <f>('Книга допущений'!$C212*'Книга допущений'!$D212*'План продаж'!N$17)*'Книга допущений'!$B$19^Расходы!M$10/1000</f>
        <v>4.6725120000000011</v>
      </c>
      <c r="N34" s="114">
        <f>('Книга допущений'!$C212*'Книга допущений'!$D212*'План продаж'!O$17)*'Книга допущений'!$B$19^Расходы!N$10/1000</f>
        <v>4.9690867200000008</v>
      </c>
      <c r="O34" s="114">
        <f>('Книга допущений'!$C212*'Книга допущений'!$D212*'План продаж'!P$17)*'Книга допущений'!$B$19^Расходы!O$10/1000</f>
        <v>3.815884800000001</v>
      </c>
      <c r="P34" s="114">
        <f>('Книга допущений'!$C212*'Книга допущений'!$D212*'План продаж'!Q$17)*'Книга допущений'!$B$19^Расходы!P$10/1000</f>
        <v>8.7512256000000033</v>
      </c>
      <c r="Q34" s="114">
        <f>('Книга допущений'!$C212*'Книга допущений'!$D212*'План продаж'!R$17)*'Книга допущений'!$B$19^Расходы!Q$10/1000</f>
        <v>5.3561524224000037</v>
      </c>
      <c r="R34" s="114">
        <f>('Книга допущений'!$C212*'Книга допущений'!$D212*'План продаж'!S$17)*'Книга допущений'!$B$19^Расходы!R$10/1000</f>
        <v>4.4976562176000012</v>
      </c>
      <c r="S34" s="114">
        <f>('Книга допущений'!$C212*'Книга допущений'!$D212*'План продаж'!T$17)*'Книга допущений'!$B$19^Расходы!S$10/1000</f>
        <v>6.0256714752000047</v>
      </c>
      <c r="T34" s="114">
        <f>('Книга допущений'!$C212*'Книга допущений'!$D212*'План продаж'!U$17)*'Книга допущений'!$B$19^Расходы!T$10/1000</f>
        <v>5.3858488320000024</v>
      </c>
      <c r="U34" s="114">
        <f>('Книга допущений'!$C212*'Книга допущений'!$D212*'План продаж'!V$17)*'Книга допущений'!$B$19^Расходы!U$10/1000</f>
        <v>8.3689881600000042</v>
      </c>
      <c r="V34" s="114">
        <f>('Книга допущений'!$C212*'Книга допущений'!$D212*'План продаж'!W$17)*'Книга допущений'!$B$19^Расходы!V$10/1000</f>
        <v>9.718824960000001</v>
      </c>
      <c r="W34" s="114">
        <f>('Книга допущений'!$C212*'Книга допущений'!$D212*'План продаж'!X$17)*'Книга допущений'!$B$19^Расходы!W$10/1000</f>
        <v>11.716583424</v>
      </c>
      <c r="X34" s="114">
        <f>('Книга допущений'!$C212*'Книга допущений'!$D212*'План продаж'!Y$17)*'Книга допущений'!$B$19^Расходы!X$10/1000</f>
        <v>10.879684608000002</v>
      </c>
      <c r="Y34" s="114">
        <f>('Книга допущений'!$C212*'Книга допущений'!$D212*'План продаж'!Z$17)*'Книга допущений'!$B$19^Расходы!Y$10/1000</f>
        <v>8.0990208000000017</v>
      </c>
      <c r="Z34" s="114">
        <f>('Книга допущений'!$C212*'Книга допущений'!$D212*'План продаж'!AA$17)*'Книга допущений'!$B$19^Расходы!Z$10/1000</f>
        <v>7.9505387520000017</v>
      </c>
      <c r="AA34" s="114">
        <f>('Книга допущений'!$C212*'Книга допущений'!$D212*'План продаж'!AB$17)*'Книга допущений'!$B$19^Расходы!AA$10/1000</f>
        <v>5.6693145600000001</v>
      </c>
      <c r="AB34" s="114">
        <f>('Книга допущений'!$C212*'Книга допущений'!$D212*'План продаж'!AC$17)*'Книга допущений'!$B$19^Расходы!AB$10/1000</f>
        <v>12.135032832000002</v>
      </c>
      <c r="AC34" s="114">
        <f>('Книга допущений'!$C212*'Книга допущений'!$D212*'План продаж'!AD$17)*'Книга допущений'!$B$19^Расходы!AC$10/1000</f>
        <v>6.9629981491200024</v>
      </c>
      <c r="AD34" s="114">
        <f>('Книга допущений'!$C212*'Книга допущений'!$D212*'План продаж'!AE$17)*'Книга допущений'!$B$19^Расходы!AD$10/1000</f>
        <v>5.5030146662400004</v>
      </c>
      <c r="AE34" s="114">
        <f>('Книга допущений'!$C212*'Книга допущений'!$D212*'План продаж'!AF$17)*'Книга допущений'!$B$19^Расходы!AE$10/1000</f>
        <v>6.9629981491200024</v>
      </c>
      <c r="AF34" s="114">
        <f>('Книга допущений'!$C212*'Книга допущений'!$D212*'План продаж'!AG$17)*'Книга допущений'!$B$19^Расходы!AF$10/1000</f>
        <v>5.8960871423999999</v>
      </c>
      <c r="AG34" s="114">
        <f>('Книга допущений'!$C212*'Книга допущений'!$D212*'План продаж'!AH$17)*'Книга допущений'!$B$19^Расходы!AG$10/1000</f>
        <v>8.7037476864000016</v>
      </c>
      <c r="AH34" s="114">
        <f>('Книга допущений'!$C212*'Книга допущений'!$D212*'План продаж'!AI$17)*'Книга допущений'!$B$19^Расходы!AH$10/1000</f>
        <v>10.1075779584</v>
      </c>
      <c r="AI34" s="114">
        <f>('Книга допущений'!$C212*'Книга допущений'!$D212*'План продаж'!AJ$17)*'Книга допущений'!$B$19^Расходы!AI$10/1000</f>
        <v>12.18524676096</v>
      </c>
      <c r="AJ34" s="114">
        <f>('Книга допущений'!$C212*'Книга допущений'!$D212*'План продаж'!AK$17)*'Книга допущений'!$B$19^Расходы!AJ$10/1000</f>
        <v>11.314871992320002</v>
      </c>
      <c r="AK34" s="114">
        <f>('Книга допущений'!$C212*'Книга допущений'!$D212*'План продаж'!AL$17)*'Книга допущений'!$B$19^Расходы!AK$10/1000</f>
        <v>8.4229816320000008</v>
      </c>
      <c r="AL34" s="114">
        <f>('Книга допущений'!$C212*'Книга допущений'!$D212*'План продаж'!AM$17)*'Книга допущений'!$B$19^Расходы!AL$10/1000</f>
        <v>8.2685603020800009</v>
      </c>
      <c r="AM34" s="114">
        <f>('Книга допущений'!$C212*'Книга допущений'!$D212*'План продаж'!AN$17)*'Книга допущений'!$B$19^Расходы!AM$10/1000</f>
        <v>5.8960871423999999</v>
      </c>
      <c r="AN34" s="114">
        <f>('Книга допущений'!$C212*'Книга допущений'!$D212*'План продаж'!AO$17)*'Книга допущений'!$B$19^Расходы!AN$10/1000</f>
        <v>12.620434145280003</v>
      </c>
      <c r="AO34" s="114">
        <f>('Книга допущений'!$C212*'Книга допущений'!$D212*'План продаж'!AP$17)*'Книга допущений'!$B$19^Расходы!AO$10/1000</f>
        <v>7.2415180750848034</v>
      </c>
      <c r="AP34" s="114">
        <f>('Книга допущений'!$C212*'Книга допущений'!$D212*'План продаж'!AQ$17)*'Книга допущений'!$B$19^Расходы!AP$10/1000</f>
        <v>5.7231352528896</v>
      </c>
      <c r="AQ34" s="114">
        <f>('Книга допущений'!$C212*'Книга допущений'!$D212*'План продаж'!AR$17)*'Книга допущений'!$B$19^Расходы!AQ$10/1000</f>
        <v>7.2415180750848034</v>
      </c>
      <c r="AR34" s="114">
        <f>('Книга допущений'!$C212*'Книга допущений'!$D212*'План продаж'!AS$17)*'Книга допущений'!$B$19^Расходы!AR$10/1000</f>
        <v>6.1319306280960006</v>
      </c>
      <c r="AS34" s="114">
        <f>('Книга допущений'!$C212*'Книга допущений'!$D212*'План продаж'!AT$17)*'Книга допущений'!$B$19^Расходы!AS$10/1000</f>
        <v>9.0518975938560029</v>
      </c>
      <c r="AT34" s="114">
        <f>('Книга допущений'!$C212*'Книга допущений'!$D212*'План продаж'!AU$17)*'Книга допущений'!$B$19^Расходы!AT$10/1000</f>
        <v>10.511881076736003</v>
      </c>
      <c r="AU34" s="114">
        <f>('Книга допущений'!$C212*'Книга допущений'!$D212*'План продаж'!AV$17)*'Книга допущений'!$B$19^Расходы!AU$10/1000</f>
        <v>12.672656631398402</v>
      </c>
      <c r="AV34" s="114">
        <f>('Книга допущений'!$C212*'Книга допущений'!$D212*'План продаж'!AW$17)*'Книга допущений'!$B$19^Расходы!AV$10/1000</f>
        <v>11.767466872012802</v>
      </c>
      <c r="AW34" s="114">
        <f>('Книга допущений'!$C212*'Книга допущений'!$D212*'План продаж'!AX$17)*'Книга допущений'!$B$19^Расходы!AW$10/1000</f>
        <v>8.7599008972800014</v>
      </c>
      <c r="AX34" s="114">
        <f>('Книга допущений'!$C212*'Книга допущений'!$D212*'План продаж'!AY$17)*'Книга допущений'!$B$19^Расходы!AX$10/1000</f>
        <v>8.5993027141632012</v>
      </c>
      <c r="AY34" s="114">
        <f>('Книга допущений'!$C212*'Книга допущений'!$D212*'План продаж'!AZ$17)*'Книга допущений'!$B$19^Расходы!AY$10/1000</f>
        <v>6.1319306280960006</v>
      </c>
      <c r="AZ34" s="114">
        <f>('Книга допущений'!$C212*'Книга допущений'!$D212*'План продаж'!BA$17)*'Книга допущений'!$B$19^Расходы!AZ$10/1000</f>
        <v>13.125251511091204</v>
      </c>
      <c r="BA34" s="114">
        <f>('Книга допущений'!$C212*'Книга допущений'!$D212*'План продаж'!BB$17)*'Книга допущений'!$B$19^Расходы!BA$10/1000</f>
        <v>7.5311787980881961</v>
      </c>
      <c r="BB34" s="114">
        <f>('Книга допущений'!$C212*'Книга допущений'!$D212*'План продаж'!BC$17)*'Книга допущений'!$B$19^Расходы!BB$10/1000</f>
        <v>5.9520606630051853</v>
      </c>
      <c r="BC34" s="114">
        <f>('Книга допущений'!$C212*'Книга допущений'!$D212*'План продаж'!BD$17)*'Книга допущений'!$B$19^Расходы!BC$10/1000</f>
        <v>7.5311787980881961</v>
      </c>
      <c r="BD34" s="114">
        <f>('Книга допущений'!$C212*'Книга допущений'!$D212*'План продаж'!BE$17)*'Книга допущений'!$B$19^Расходы!BD$10/1000</f>
        <v>6.3772078532198408</v>
      </c>
      <c r="BE34" s="114">
        <f>('Книга допущений'!$C212*'Книга допущений'!$D212*'План продаж'!BF$17)*'Книга допущений'!$B$19^Расходы!BE$10/1000</f>
        <v>9.4139734976102449</v>
      </c>
      <c r="BF34" s="114">
        <f>('Книга допущений'!$C212*'Книга допущений'!$D212*'План продаж'!BG$17)*'Книга допущений'!$B$19^Расходы!BF$10/1000</f>
        <v>10.932356319805443</v>
      </c>
      <c r="BG34" s="114">
        <f>('Книга допущений'!$C212*'Книга допущений'!$D212*'План продаж'!BH$17)*'Книга допущений'!$B$19^Расходы!BG$10/1000</f>
        <v>13.179562896654339</v>
      </c>
      <c r="BH34" s="114">
        <f>('Книга допущений'!$C212*'Книга допущений'!$D212*'План продаж'!BI$17)*'Книга допущений'!$B$19^Расходы!BH$10/1000</f>
        <v>12.238165546893317</v>
      </c>
      <c r="BI34" s="114">
        <f>('Книга допущений'!$C212*'Книга допущений'!$D212*'План продаж'!BJ$17)*'Книга допущений'!$B$19^Расходы!BI$10/1000</f>
        <v>9.1102969331712025</v>
      </c>
      <c r="BJ34" s="114">
        <f>('Книга допущений'!$C212*'Книга допущений'!$D212*'План продаж'!BK$17)*'Книга допущений'!$B$19^Расходы!BJ$10/1000</f>
        <v>8.9432748227297303</v>
      </c>
      <c r="BK34" s="114">
        <f>('Книга допущений'!$C212*'Книга допущений'!$D212*'План продаж'!BL$17)*'Книга допущений'!$B$19^Расходы!BK$10/1000</f>
        <v>6.3772078532198408</v>
      </c>
      <c r="BL34" s="114">
        <f>('Книга допущений'!$C212*'Книга допущений'!$D212*'План продаж'!BM$17)*'Книга допущений'!$B$19^Расходы!BL$10/1000</f>
        <v>13.650261571534854</v>
      </c>
      <c r="BM34" s="114">
        <f>('Книга допущений'!$C212*'Книга допущений'!$D212*'План продаж'!BN$17)*'Книга допущений'!$B$19^Расходы!BM$10/1000</f>
        <v>7.8324259500117241</v>
      </c>
      <c r="BN34" s="114">
        <f>('Книга допущений'!$C212*'Книга допущений'!$D212*'План продаж'!BO$17)*'Книга допущений'!$B$19^Расходы!BN$10/1000</f>
        <v>6.1901430895253933</v>
      </c>
      <c r="BO34" s="114">
        <f>('Книга допущений'!$C212*'Книга допущений'!$D212*'План продаж'!BP$17)*'Книга допущений'!$B$19^Расходы!BO$10/1000</f>
        <v>7.8324259500117241</v>
      </c>
      <c r="BP34" s="114">
        <f>('Книга допущений'!$C212*'Книга допущений'!$D212*'План продаж'!BQ$17)*'Книга допущений'!$B$19^Расходы!BP$10/1000</f>
        <v>6.6322961673486356</v>
      </c>
      <c r="BQ34" s="114">
        <f>('Книга допущений'!$C212*'Книга допущений'!$D212*'План продаж'!BR$17)*'Книга допущений'!$B$19^Расходы!BQ$10/1000</f>
        <v>9.7905324375146545</v>
      </c>
      <c r="BR34" s="114">
        <f>('Книга допущений'!$C212*'Книга допущений'!$D212*'План продаж'!BS$17)*'Книга допущений'!$B$19^Расходы!BR$10/1000</f>
        <v>11.369650572597662</v>
      </c>
      <c r="BS34" s="114">
        <f>('Книга допущений'!$C212*'Книга допущений'!$D212*'План продаж'!BT$17)*'Книга допущений'!$B$19^Расходы!BS$10/1000</f>
        <v>13.706745412520513</v>
      </c>
      <c r="BT34" s="114">
        <f>('Книга допущений'!$C212*'Книга допущений'!$D212*'План продаж'!BU$17)*'Книга допущений'!$B$19^Расходы!BT$10/1000</f>
        <v>12.72769216876905</v>
      </c>
      <c r="BU34" s="114">
        <f>('Книга допущений'!$C212*'Книга допущений'!$D212*'План продаж'!BV$17)*'Книга допущений'!$B$19^Расходы!BU$10/1000</f>
        <v>9.4747088104980524</v>
      </c>
      <c r="BV34" s="114">
        <f>('Книга допущений'!$C212*'Книга допущений'!$D212*'План продаж'!BW$17)*'Книга допущений'!$B$19^Расходы!BV$10/1000</f>
        <v>9.3010058156389199</v>
      </c>
      <c r="BW34" s="114">
        <f>('Книга допущений'!$C212*'Книга допущений'!$D212*'План продаж'!BX$17)*'Книга допущений'!$B$19^Расходы!BW$10/1000</f>
        <v>6.6322961673486356</v>
      </c>
      <c r="BX34" s="114">
        <f>('Книга допущений'!$C212*'Книга допущений'!$D212*'План продаж'!BY$17)*'Книга допущений'!$B$19^Расходы!BX$10/1000</f>
        <v>14.196272034396246</v>
      </c>
    </row>
    <row r="35" spans="1:76" x14ac:dyDescent="0.25">
      <c r="A35" s="131" t="s">
        <v>109</v>
      </c>
      <c r="B35" s="127">
        <f t="shared" ref="B35:AG35" si="6">B24+B11</f>
        <v>123.791</v>
      </c>
      <c r="C35" s="127">
        <f t="shared" si="6"/>
        <v>123.791</v>
      </c>
      <c r="D35" s="127">
        <f t="shared" si="6"/>
        <v>123.791</v>
      </c>
      <c r="E35" s="127">
        <f t="shared" si="6"/>
        <v>128.74263999999999</v>
      </c>
      <c r="F35" s="127">
        <f t="shared" si="6"/>
        <v>128.74263999999999</v>
      </c>
      <c r="G35" s="127">
        <f t="shared" si="6"/>
        <v>128.74263999999999</v>
      </c>
      <c r="H35" s="127">
        <f t="shared" si="6"/>
        <v>128.74263999999999</v>
      </c>
      <c r="I35" s="127">
        <f t="shared" si="6"/>
        <v>128.74263999999999</v>
      </c>
      <c r="J35" s="127">
        <f t="shared" si="6"/>
        <v>380.33943999999997</v>
      </c>
      <c r="K35" s="127">
        <f t="shared" si="6"/>
        <v>2760.7344817814546</v>
      </c>
      <c r="L35" s="127">
        <f t="shared" si="6"/>
        <v>3158.0680588600198</v>
      </c>
      <c r="M35" s="127">
        <f t="shared" si="6"/>
        <v>2968.7554891426794</v>
      </c>
      <c r="N35" s="127">
        <f t="shared" si="6"/>
        <v>3019.3132002286357</v>
      </c>
      <c r="O35" s="127">
        <f t="shared" si="6"/>
        <v>2817.4591320802238</v>
      </c>
      <c r="P35" s="127">
        <f t="shared" si="6"/>
        <v>3675.6441475382762</v>
      </c>
      <c r="Q35" s="127">
        <f t="shared" si="6"/>
        <v>3138.8690450615386</v>
      </c>
      <c r="R35" s="127">
        <f t="shared" si="6"/>
        <v>2988.3243937376169</v>
      </c>
      <c r="S35" s="127">
        <f t="shared" si="6"/>
        <v>3253.2807152998348</v>
      </c>
      <c r="T35" s="127">
        <f t="shared" si="6"/>
        <v>3140.8079856996428</v>
      </c>
      <c r="U35" s="127">
        <f t="shared" si="6"/>
        <v>3659.1070950284084</v>
      </c>
      <c r="V35" s="127">
        <f t="shared" si="6"/>
        <v>3893.0418507416598</v>
      </c>
      <c r="W35" s="127">
        <f t="shared" si="6"/>
        <v>4239.7823004511483</v>
      </c>
      <c r="X35" s="127">
        <f t="shared" si="6"/>
        <v>4092.9978389271018</v>
      </c>
      <c r="Y35" s="127">
        <f t="shared" si="6"/>
        <v>3607.7962954143441</v>
      </c>
      <c r="Z35" s="127">
        <f t="shared" si="6"/>
        <v>3580.8678837612988</v>
      </c>
      <c r="AA35" s="127">
        <f t="shared" si="6"/>
        <v>3182.6207293706402</v>
      </c>
      <c r="AB35" s="127">
        <f t="shared" si="6"/>
        <v>4307.2504439291788</v>
      </c>
      <c r="AC35" s="127">
        <f t="shared" si="6"/>
        <v>3463.3152989693117</v>
      </c>
      <c r="AD35" s="127">
        <f t="shared" si="6"/>
        <v>3208.0493617188822</v>
      </c>
      <c r="AE35" s="127">
        <f t="shared" si="6"/>
        <v>3461.1610854114952</v>
      </c>
      <c r="AF35" s="127">
        <f t="shared" si="6"/>
        <v>3274.330602518784</v>
      </c>
      <c r="AG35" s="127">
        <f t="shared" si="6"/>
        <v>3762.0781697235684</v>
      </c>
      <c r="AH35" s="127">
        <f t="shared" ref="AH35:BM35" si="7">AH24+AH11</f>
        <v>4005.4133999365067</v>
      </c>
      <c r="AI35" s="127">
        <f t="shared" si="7"/>
        <v>4366.0665519055328</v>
      </c>
      <c r="AJ35" s="127">
        <f t="shared" si="7"/>
        <v>4213.4537961916794</v>
      </c>
      <c r="AK35" s="127">
        <f t="shared" si="7"/>
        <v>3708.8872752095676</v>
      </c>
      <c r="AL35" s="127">
        <f t="shared" si="7"/>
        <v>3680.9248113615563</v>
      </c>
      <c r="AM35" s="127">
        <f t="shared" si="7"/>
        <v>3266.7908550664279</v>
      </c>
      <c r="AN35" s="127">
        <f t="shared" si="7"/>
        <v>4436.4488424784649</v>
      </c>
      <c r="AO35" s="127">
        <f t="shared" si="7"/>
        <v>3558.7993759913579</v>
      </c>
      <c r="AP35" s="127">
        <f t="shared" si="7"/>
        <v>3293.3658855220688</v>
      </c>
      <c r="AQ35" s="127">
        <f t="shared" si="7"/>
        <v>3556.6451624335423</v>
      </c>
      <c r="AR35" s="127">
        <f t="shared" si="7"/>
        <v>3362.3845444962785</v>
      </c>
      <c r="AS35" s="127">
        <f t="shared" si="7"/>
        <v>3869.6850986604113</v>
      </c>
      <c r="AT35" s="127">
        <f t="shared" si="7"/>
        <v>4122.7968223530243</v>
      </c>
      <c r="AU35" s="127">
        <f t="shared" si="7"/>
        <v>4497.9191846719659</v>
      </c>
      <c r="AV35" s="127">
        <f t="shared" si="7"/>
        <v>4339.2450030007167</v>
      </c>
      <c r="AW35" s="127">
        <f t="shared" si="7"/>
        <v>3814.5389054504758</v>
      </c>
      <c r="AX35" s="127">
        <f t="shared" si="7"/>
        <v>3785.5010273197004</v>
      </c>
      <c r="AY35" s="127">
        <f t="shared" si="7"/>
        <v>3354.8447970439233</v>
      </c>
      <c r="AZ35" s="127">
        <f t="shared" si="7"/>
        <v>4571.3321882235978</v>
      </c>
      <c r="BA35" s="127">
        <f t="shared" si="7"/>
        <v>3658.6198273481637</v>
      </c>
      <c r="BB35" s="127">
        <f t="shared" si="7"/>
        <v>3382.6120815312588</v>
      </c>
      <c r="BC35" s="127">
        <f t="shared" si="7"/>
        <v>3656.4656137903476</v>
      </c>
      <c r="BD35" s="127">
        <f t="shared" si="7"/>
        <v>3454.4776554067503</v>
      </c>
      <c r="BE35" s="127">
        <f t="shared" si="7"/>
        <v>3982.1133160086042</v>
      </c>
      <c r="BF35" s="127">
        <f t="shared" si="7"/>
        <v>4245.3925929200777</v>
      </c>
      <c r="BG35" s="127">
        <f t="shared" si="7"/>
        <v>4635.5629340029336</v>
      </c>
      <c r="BH35" s="127">
        <f t="shared" si="7"/>
        <v>4470.5848693359894</v>
      </c>
      <c r="BI35" s="127">
        <f t="shared" si="7"/>
        <v>3924.9336121548963</v>
      </c>
      <c r="BJ35" s="127">
        <f t="shared" si="7"/>
        <v>3894.7773031700463</v>
      </c>
      <c r="BK35" s="127">
        <f t="shared" si="7"/>
        <v>3446.9379079543942</v>
      </c>
      <c r="BL35" s="127">
        <f t="shared" si="7"/>
        <v>4712.127879052412</v>
      </c>
      <c r="BM35" s="127">
        <f t="shared" si="7"/>
        <v>3762.9501080131163</v>
      </c>
      <c r="BN35" s="127">
        <f t="shared" ref="BN35:BX35" si="8">BN24+BN11</f>
        <v>3475.9451366346921</v>
      </c>
      <c r="BO35" s="127">
        <f t="shared" si="8"/>
        <v>3760.7958944553002</v>
      </c>
      <c r="BP35" s="127">
        <f t="shared" si="8"/>
        <v>3550.7715020075148</v>
      </c>
      <c r="BQ35" s="127">
        <f t="shared" si="8"/>
        <v>4099.5556733045996</v>
      </c>
      <c r="BR35" s="127">
        <f t="shared" si="8"/>
        <v>4373.4092055636884</v>
      </c>
      <c r="BS35" s="127">
        <f t="shared" si="8"/>
        <v>4755.9350001165712</v>
      </c>
      <c r="BT35" s="127">
        <f t="shared" si="8"/>
        <v>4584.4397860229947</v>
      </c>
      <c r="BU35" s="127">
        <f t="shared" si="8"/>
        <v>4017.0444517147025</v>
      </c>
      <c r="BV35" s="127">
        <f t="shared" si="8"/>
        <v>3985.7638635305038</v>
      </c>
      <c r="BW35" s="127">
        <f t="shared" si="8"/>
        <v>3520.0928656662709</v>
      </c>
      <c r="BX35" s="127">
        <f t="shared" si="8"/>
        <v>4835.9724087682544</v>
      </c>
    </row>
    <row r="36" spans="1:76" x14ac:dyDescent="0.25">
      <c r="A36" s="18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</row>
    <row r="37" spans="1:76" x14ac:dyDescent="0.25">
      <c r="A37" s="7" t="s">
        <v>144</v>
      </c>
    </row>
    <row r="38" spans="1:76" x14ac:dyDescent="0.25">
      <c r="A38" s="401"/>
      <c r="B38" s="84" t="s">
        <v>366</v>
      </c>
      <c r="C38" s="256" t="s">
        <v>367</v>
      </c>
      <c r="D38" s="256" t="s">
        <v>368</v>
      </c>
      <c r="E38" s="256" t="s">
        <v>369</v>
      </c>
      <c r="F38" s="256" t="s">
        <v>370</v>
      </c>
      <c r="G38" s="256" t="s">
        <v>378</v>
      </c>
      <c r="H38" s="256" t="s">
        <v>379</v>
      </c>
      <c r="I38" s="256" t="s">
        <v>50</v>
      </c>
      <c r="J38" s="13"/>
      <c r="K38" s="13"/>
      <c r="L38" s="13"/>
      <c r="M38" s="13"/>
      <c r="N38" s="13"/>
      <c r="O38" s="13"/>
    </row>
    <row r="39" spans="1:76" x14ac:dyDescent="0.25">
      <c r="A39" s="397" t="s">
        <v>66</v>
      </c>
      <c r="B39" s="400">
        <f>B52</f>
        <v>0</v>
      </c>
      <c r="C39" s="400">
        <f t="shared" ref="C39:H39" si="9">C52</f>
        <v>3877.5844040685706</v>
      </c>
      <c r="D39" s="400">
        <f t="shared" si="9"/>
        <v>7755.1688081371431</v>
      </c>
      <c r="E39" s="400">
        <f t="shared" si="9"/>
        <v>7755.1688081371431</v>
      </c>
      <c r="F39" s="400">
        <f t="shared" si="9"/>
        <v>7755.1688081371431</v>
      </c>
      <c r="G39" s="400">
        <f t="shared" si="9"/>
        <v>7755.1688081371431</v>
      </c>
      <c r="H39" s="400">
        <f t="shared" si="9"/>
        <v>7615.1688081371403</v>
      </c>
      <c r="I39" s="133">
        <f>SUM(B39:H39)</f>
        <v>42513.428444754281</v>
      </c>
      <c r="J39" s="13"/>
      <c r="K39" s="13"/>
      <c r="L39" s="13"/>
      <c r="M39" s="13"/>
      <c r="N39" s="13"/>
      <c r="O39" s="13"/>
    </row>
    <row r="40" spans="1:76" x14ac:dyDescent="0.25">
      <c r="A40" s="397" t="s">
        <v>351</v>
      </c>
      <c r="B40" s="400">
        <f t="shared" ref="B40:H40" si="10">B53+B54</f>
        <v>345.6</v>
      </c>
      <c r="C40" s="133">
        <f t="shared" si="10"/>
        <v>7170.5088000000005</v>
      </c>
      <c r="D40" s="133">
        <f t="shared" si="10"/>
        <v>13681.115136</v>
      </c>
      <c r="E40" s="133">
        <f t="shared" si="10"/>
        <v>14228.359741440003</v>
      </c>
      <c r="F40" s="133">
        <f t="shared" si="10"/>
        <v>14797.494131097603</v>
      </c>
      <c r="G40" s="133">
        <f t="shared" si="10"/>
        <v>15389.393896341504</v>
      </c>
      <c r="H40" s="133">
        <f t="shared" si="10"/>
        <v>16004.969652195166</v>
      </c>
      <c r="I40" s="133">
        <f t="shared" ref="I40:I45" si="11">SUM(B40:H40)</f>
        <v>81617.441357074276</v>
      </c>
      <c r="J40" s="13"/>
      <c r="K40" s="13"/>
      <c r="L40" s="13"/>
      <c r="M40" s="13"/>
      <c r="N40" s="13"/>
      <c r="O40" s="13"/>
    </row>
    <row r="41" spans="1:76" x14ac:dyDescent="0.25">
      <c r="A41" s="402" t="s">
        <v>352</v>
      </c>
      <c r="B41" s="133">
        <f>B59+SUM(B69:B71)</f>
        <v>0</v>
      </c>
      <c r="C41" s="133">
        <f t="shared" ref="C41:H41" si="12">C59+SUM(C69:C71)</f>
        <v>1615.0028544000004</v>
      </c>
      <c r="D41" s="133">
        <f t="shared" si="12"/>
        <v>4461.0169743360011</v>
      </c>
      <c r="E41" s="133">
        <f t="shared" si="12"/>
        <v>4775.8467833856002</v>
      </c>
      <c r="F41" s="133">
        <f t="shared" si="12"/>
        <v>4966.8806547210261</v>
      </c>
      <c r="G41" s="133">
        <f t="shared" si="12"/>
        <v>5165.5558809098666</v>
      </c>
      <c r="H41" s="133">
        <f t="shared" si="12"/>
        <v>5372.1781161462613</v>
      </c>
      <c r="I41" s="133">
        <f t="shared" si="11"/>
        <v>26356.481263898753</v>
      </c>
      <c r="J41" s="13"/>
      <c r="K41" s="13"/>
      <c r="L41" s="13"/>
      <c r="M41" s="13"/>
      <c r="N41" s="13"/>
      <c r="O41" s="13"/>
    </row>
    <row r="42" spans="1:76" x14ac:dyDescent="0.25">
      <c r="A42" s="143" t="s">
        <v>362</v>
      </c>
      <c r="B42" s="133">
        <f>SUM(B65:B67)</f>
        <v>0</v>
      </c>
      <c r="C42" s="133">
        <f t="shared" ref="C42:H42" si="13">SUM(C65:C67)</f>
        <v>1363.5710432847363</v>
      </c>
      <c r="D42" s="133">
        <f t="shared" si="13"/>
        <v>3888.4722173981804</v>
      </c>
      <c r="E42" s="133">
        <f t="shared" si="13"/>
        <v>4174.2645705815412</v>
      </c>
      <c r="F42" s="133">
        <f t="shared" si="13"/>
        <v>4341.235153404803</v>
      </c>
      <c r="G42" s="133">
        <f t="shared" si="13"/>
        <v>4514.8845595409957</v>
      </c>
      <c r="H42" s="133">
        <f t="shared" si="13"/>
        <v>4695.4799419226347</v>
      </c>
      <c r="I42" s="133">
        <f t="shared" si="11"/>
        <v>22977.907486132892</v>
      </c>
      <c r="J42" s="13"/>
      <c r="K42" s="13"/>
      <c r="L42" s="13"/>
      <c r="M42" s="13"/>
      <c r="N42" s="13"/>
      <c r="O42" s="13"/>
    </row>
    <row r="43" spans="1:76" x14ac:dyDescent="0.25">
      <c r="A43" s="143" t="s">
        <v>587</v>
      </c>
      <c r="B43" s="133">
        <f>B72+B73+B74</f>
        <v>0</v>
      </c>
      <c r="C43" s="133">
        <f t="shared" ref="C43:H43" si="14">C72+C73+C74</f>
        <v>1854.7439040000004</v>
      </c>
      <c r="D43" s="133">
        <f t="shared" si="14"/>
        <v>5289.1414617600012</v>
      </c>
      <c r="E43" s="133">
        <f t="shared" si="14"/>
        <v>5677.8792744960001</v>
      </c>
      <c r="F43" s="133">
        <f t="shared" si="14"/>
        <v>5904.9944454758415</v>
      </c>
      <c r="G43" s="133">
        <f t="shared" si="14"/>
        <v>6141.194223294875</v>
      </c>
      <c r="H43" s="133">
        <f t="shared" si="14"/>
        <v>6386.8419922266712</v>
      </c>
      <c r="I43" s="133">
        <f t="shared" si="11"/>
        <v>31254.795301253391</v>
      </c>
      <c r="J43" s="13"/>
      <c r="K43" s="13"/>
      <c r="L43" s="13"/>
      <c r="M43" s="13"/>
      <c r="N43" s="13"/>
      <c r="O43" s="13"/>
    </row>
    <row r="44" spans="1:76" x14ac:dyDescent="0.25">
      <c r="A44" s="143" t="s">
        <v>173</v>
      </c>
      <c r="B44" s="133">
        <f>B56+B58+B74</f>
        <v>0</v>
      </c>
      <c r="C44" s="133">
        <f t="shared" ref="C44:H44" si="15">C56+C58+C74</f>
        <v>950.87536127999999</v>
      </c>
      <c r="D44" s="133">
        <f t="shared" si="15"/>
        <v>2003.7457170431999</v>
      </c>
      <c r="E44" s="133">
        <f t="shared" si="15"/>
        <v>2087.1047017267201</v>
      </c>
      <c r="F44" s="133">
        <f t="shared" si="15"/>
        <v>2170.5888897957893</v>
      </c>
      <c r="G44" s="133">
        <f t="shared" si="15"/>
        <v>2257.4124453876211</v>
      </c>
      <c r="H44" s="133">
        <f t="shared" si="15"/>
        <v>2347.7089432031253</v>
      </c>
      <c r="I44" s="133">
        <f t="shared" si="11"/>
        <v>11817.436058436455</v>
      </c>
      <c r="J44" s="13"/>
      <c r="K44" s="13"/>
      <c r="L44" s="13"/>
      <c r="M44" s="13"/>
      <c r="N44" s="13"/>
      <c r="O44" s="13"/>
    </row>
    <row r="45" spans="1:76" x14ac:dyDescent="0.25">
      <c r="A45" s="143" t="s">
        <v>67</v>
      </c>
      <c r="B45" s="133">
        <f>B75-SUM(B39:B44)</f>
        <v>25.773000000000025</v>
      </c>
      <c r="C45" s="133">
        <f t="shared" ref="C45:H45" si="16">C75-SUM(C39:C44)</f>
        <v>2591.740782597979</v>
      </c>
      <c r="D45" s="133">
        <f t="shared" si="16"/>
        <v>6006.0862627478855</v>
      </c>
      <c r="E45" s="133">
        <f t="shared" si="16"/>
        <v>6148.2961707247669</v>
      </c>
      <c r="F45" s="133">
        <f t="shared" si="16"/>
        <v>6190.6959125348585</v>
      </c>
      <c r="G45" s="133">
        <f t="shared" si="16"/>
        <v>6240.9957790638655</v>
      </c>
      <c r="H45" s="133">
        <f t="shared" si="16"/>
        <v>6300.3284419671982</v>
      </c>
      <c r="I45" s="133">
        <f t="shared" si="11"/>
        <v>33503.916349636551</v>
      </c>
      <c r="J45" s="13"/>
      <c r="K45" s="13"/>
      <c r="L45" s="13"/>
      <c r="M45" s="13"/>
      <c r="N45" s="13"/>
      <c r="O45" s="13"/>
    </row>
    <row r="46" spans="1:76" x14ac:dyDescent="0.25">
      <c r="A46" s="146" t="s">
        <v>44</v>
      </c>
      <c r="B46" s="132">
        <f t="shared" ref="B46:H46" si="17">SUM(B39:B45)</f>
        <v>371.37300000000005</v>
      </c>
      <c r="C46" s="132">
        <f t="shared" si="17"/>
        <v>19424.027149631289</v>
      </c>
      <c r="D46" s="132">
        <f t="shared" si="17"/>
        <v>43084.746577422411</v>
      </c>
      <c r="E46" s="132">
        <f t="shared" si="17"/>
        <v>44846.920050491775</v>
      </c>
      <c r="F46" s="132">
        <f t="shared" si="17"/>
        <v>46127.057995167066</v>
      </c>
      <c r="G46" s="132">
        <f t="shared" si="17"/>
        <v>47464.605592675871</v>
      </c>
      <c r="H46" s="132">
        <f t="shared" si="17"/>
        <v>48722.675895798195</v>
      </c>
      <c r="I46" s="132">
        <f>SUM(I39:I45)</f>
        <v>250041.40626118658</v>
      </c>
      <c r="J46" s="13"/>
      <c r="K46" s="13"/>
      <c r="L46" s="13"/>
      <c r="M46" s="13"/>
      <c r="N46" s="13"/>
      <c r="O46" s="13"/>
    </row>
    <row r="48" spans="1:76" x14ac:dyDescent="0.25">
      <c r="B48" s="57"/>
    </row>
    <row r="49" spans="1:15" x14ac:dyDescent="0.25">
      <c r="A49" s="82" t="s">
        <v>154</v>
      </c>
    </row>
    <row r="50" spans="1:15" x14ac:dyDescent="0.25">
      <c r="A50" s="84" t="s">
        <v>166</v>
      </c>
      <c r="B50" s="395">
        <f>'План продаж'!C36</f>
        <v>2020</v>
      </c>
      <c r="C50" s="395">
        <f>'План продаж'!D36</f>
        <v>2021</v>
      </c>
      <c r="D50" s="395">
        <f>'План продаж'!E36</f>
        <v>2022</v>
      </c>
      <c r="E50" s="395">
        <f>'План продаж'!F36</f>
        <v>2023</v>
      </c>
      <c r="F50" s="395">
        <f>'План продаж'!G36</f>
        <v>2024</v>
      </c>
      <c r="G50" s="395">
        <f>'План продаж'!H36</f>
        <v>2025</v>
      </c>
      <c r="H50" s="395">
        <f>'План продаж'!I36</f>
        <v>2026</v>
      </c>
      <c r="I50" s="84" t="s">
        <v>50</v>
      </c>
      <c r="J50" s="13"/>
      <c r="K50" s="13"/>
      <c r="L50" s="13"/>
      <c r="M50" s="13"/>
      <c r="N50" s="13"/>
      <c r="O50" s="13"/>
    </row>
    <row r="51" spans="1:15" x14ac:dyDescent="0.25">
      <c r="A51" s="159" t="s">
        <v>65</v>
      </c>
      <c r="B51" s="158">
        <f>SUM(B52:B63)</f>
        <v>371.37300000000005</v>
      </c>
      <c r="C51" s="158">
        <f>SUM(C52:C63)</f>
        <v>13574.943448912953</v>
      </c>
      <c r="D51" s="158">
        <f t="shared" ref="D51:I51" si="18">SUM(D52:D63)</f>
        <v>26405.014648903845</v>
      </c>
      <c r="E51" s="158">
        <f t="shared" si="18"/>
        <v>26941.272242469109</v>
      </c>
      <c r="F51" s="158">
        <f t="shared" si="18"/>
        <v>27505.184274823489</v>
      </c>
      <c r="G51" s="158">
        <f t="shared" si="18"/>
        <v>28097.85692351855</v>
      </c>
      <c r="H51" s="158">
        <f t="shared" si="18"/>
        <v>28581.257279874582</v>
      </c>
      <c r="I51" s="158">
        <f t="shared" si="18"/>
        <v>151476.90181850252</v>
      </c>
      <c r="J51" s="13"/>
      <c r="K51" s="13"/>
      <c r="L51" s="13"/>
      <c r="M51" s="13"/>
      <c r="N51" s="13"/>
      <c r="O51" s="13"/>
    </row>
    <row r="52" spans="1:15" x14ac:dyDescent="0.25">
      <c r="A52" s="90" t="str">
        <f t="shared" ref="A52:A58" si="19">A12</f>
        <v>Амортизация</v>
      </c>
      <c r="B52" s="133">
        <f t="shared" ref="B52:H63" si="20">SUMIF($B$8:$BX$8,B$50,$B12:$BX12)</f>
        <v>0</v>
      </c>
      <c r="C52" s="133">
        <f t="shared" si="20"/>
        <v>3877.5844040685706</v>
      </c>
      <c r="D52" s="133">
        <f t="shared" si="20"/>
        <v>7755.1688081371431</v>
      </c>
      <c r="E52" s="133">
        <f t="shared" si="20"/>
        <v>7755.1688081371431</v>
      </c>
      <c r="F52" s="133">
        <f t="shared" si="20"/>
        <v>7755.1688081371431</v>
      </c>
      <c r="G52" s="133">
        <f t="shared" si="20"/>
        <v>7755.1688081371431</v>
      </c>
      <c r="H52" s="133">
        <f t="shared" si="20"/>
        <v>7615.1688081371403</v>
      </c>
      <c r="I52" s="128">
        <f>SUM(B52:H52)</f>
        <v>42513.428444754281</v>
      </c>
      <c r="J52" s="13"/>
      <c r="K52" s="13"/>
      <c r="L52" s="13"/>
      <c r="M52" s="13"/>
      <c r="N52" s="13"/>
      <c r="O52" s="13"/>
    </row>
    <row r="53" spans="1:15" x14ac:dyDescent="0.25">
      <c r="A53" s="90" t="str">
        <f t="shared" si="19"/>
        <v>Фонд оплаты труда персонала</v>
      </c>
      <c r="B53" s="133">
        <f t="shared" si="20"/>
        <v>300</v>
      </c>
      <c r="C53" s="133">
        <f t="shared" si="20"/>
        <v>6224.4000000000005</v>
      </c>
      <c r="D53" s="133">
        <f t="shared" si="20"/>
        <v>11875.968000000001</v>
      </c>
      <c r="E53" s="133">
        <f t="shared" si="20"/>
        <v>12351.006720000003</v>
      </c>
      <c r="F53" s="133">
        <f t="shared" si="20"/>
        <v>12845.046988800003</v>
      </c>
      <c r="G53" s="133">
        <f t="shared" si="20"/>
        <v>13358.848868351999</v>
      </c>
      <c r="H53" s="133">
        <f t="shared" si="20"/>
        <v>13893.202823086081</v>
      </c>
      <c r="I53" s="128">
        <f>SUM(B53:H53)</f>
        <v>70848.473400238086</v>
      </c>
      <c r="J53" s="13"/>
      <c r="K53" s="13"/>
      <c r="L53" s="13"/>
      <c r="M53" s="13"/>
      <c r="N53" s="13"/>
      <c r="O53" s="13"/>
    </row>
    <row r="54" spans="1:15" x14ac:dyDescent="0.25">
      <c r="A54" s="90" t="str">
        <f t="shared" si="19"/>
        <v>Страховые взносы от ФОТ</v>
      </c>
      <c r="B54" s="133">
        <f t="shared" si="20"/>
        <v>45.600000000000009</v>
      </c>
      <c r="C54" s="133">
        <f t="shared" si="20"/>
        <v>946.10879999999997</v>
      </c>
      <c r="D54" s="133">
        <f t="shared" si="20"/>
        <v>1805.1471360000003</v>
      </c>
      <c r="E54" s="133">
        <f t="shared" si="20"/>
        <v>1877.3530214400007</v>
      </c>
      <c r="F54" s="133">
        <f t="shared" si="20"/>
        <v>1952.4471422976012</v>
      </c>
      <c r="G54" s="133">
        <f t="shared" si="20"/>
        <v>2030.5450279895049</v>
      </c>
      <c r="H54" s="133">
        <f t="shared" si="20"/>
        <v>2111.7668291090854</v>
      </c>
      <c r="I54" s="128">
        <f t="shared" ref="I54:I63" si="21">SUM(B54:H54)</f>
        <v>10768.967956836193</v>
      </c>
      <c r="J54" s="13"/>
      <c r="K54" s="13"/>
      <c r="L54" s="13"/>
      <c r="M54" s="13"/>
      <c r="N54" s="13"/>
      <c r="O54" s="13"/>
    </row>
    <row r="55" spans="1:15" x14ac:dyDescent="0.25">
      <c r="A55" s="90" t="str">
        <f t="shared" si="19"/>
        <v>Аренда земельного участка</v>
      </c>
      <c r="B55" s="133">
        <f t="shared" si="20"/>
        <v>25.772999999999996</v>
      </c>
      <c r="C55" s="133">
        <f t="shared" si="20"/>
        <v>107.21568000000001</v>
      </c>
      <c r="D55" s="133">
        <f t="shared" si="20"/>
        <v>111.50430720000001</v>
      </c>
      <c r="E55" s="133">
        <f t="shared" si="20"/>
        <v>115.96447948799999</v>
      </c>
      <c r="F55" s="133">
        <f t="shared" si="20"/>
        <v>120.60305866751999</v>
      </c>
      <c r="G55" s="133">
        <f t="shared" si="20"/>
        <v>125.42718101422082</v>
      </c>
      <c r="H55" s="133">
        <f t="shared" si="20"/>
        <v>130.44426825478965</v>
      </c>
      <c r="I55" s="128">
        <f t="shared" si="21"/>
        <v>736.93197462453054</v>
      </c>
      <c r="J55" s="13"/>
      <c r="K55" s="13"/>
      <c r="L55" s="13"/>
      <c r="M55" s="13"/>
      <c r="N55" s="13"/>
      <c r="O55" s="13"/>
    </row>
    <row r="56" spans="1:15" x14ac:dyDescent="0.25">
      <c r="A56" s="90" t="str">
        <f t="shared" si="19"/>
        <v>Охрана</v>
      </c>
      <c r="B56" s="133">
        <f t="shared" si="20"/>
        <v>0</v>
      </c>
      <c r="C56" s="133">
        <f t="shared" si="20"/>
        <v>624</v>
      </c>
      <c r="D56" s="133">
        <f t="shared" si="20"/>
        <v>1297.92</v>
      </c>
      <c r="E56" s="133">
        <f t="shared" si="20"/>
        <v>1349.8368</v>
      </c>
      <c r="F56" s="133">
        <f t="shared" si="20"/>
        <v>1403.8302720000004</v>
      </c>
      <c r="G56" s="133">
        <f t="shared" si="20"/>
        <v>1459.9834828800006</v>
      </c>
      <c r="H56" s="133">
        <f t="shared" si="20"/>
        <v>1518.3828221952001</v>
      </c>
      <c r="I56" s="128">
        <f t="shared" si="21"/>
        <v>7653.9533770752005</v>
      </c>
      <c r="J56" s="13"/>
      <c r="K56" s="13"/>
      <c r="L56" s="13"/>
      <c r="M56" s="13"/>
      <c r="N56" s="13"/>
      <c r="O56" s="13"/>
    </row>
    <row r="57" spans="1:15" x14ac:dyDescent="0.25">
      <c r="A57" s="90" t="str">
        <f t="shared" si="19"/>
        <v>Страхование объектов</v>
      </c>
      <c r="B57" s="133">
        <f t="shared" si="20"/>
        <v>0</v>
      </c>
      <c r="C57" s="133">
        <f t="shared" si="20"/>
        <v>741.07456484438103</v>
      </c>
      <c r="D57" s="133">
        <f t="shared" si="20"/>
        <v>1365.8215975667053</v>
      </c>
      <c r="E57" s="133">
        <f t="shared" si="20"/>
        <v>1210.7182214039626</v>
      </c>
      <c r="F57" s="133">
        <f t="shared" si="20"/>
        <v>1055.6148452412203</v>
      </c>
      <c r="G57" s="133">
        <f t="shared" si="20"/>
        <v>900.5114690784776</v>
      </c>
      <c r="H57" s="133">
        <f t="shared" si="20"/>
        <v>746.22475958240182</v>
      </c>
      <c r="I57" s="128">
        <f t="shared" ref="I57" si="22">SUM(B57:H57)</f>
        <v>6019.9654577171486</v>
      </c>
      <c r="J57" s="13"/>
      <c r="K57" s="13"/>
      <c r="L57" s="13"/>
      <c r="M57" s="13"/>
      <c r="N57" s="13"/>
      <c r="O57" s="13"/>
    </row>
    <row r="58" spans="1:15" x14ac:dyDescent="0.25">
      <c r="A58" s="90" t="str">
        <f t="shared" si="19"/>
        <v>Текущий ремонт</v>
      </c>
      <c r="B58" s="133">
        <f t="shared" si="20"/>
        <v>0</v>
      </c>
      <c r="C58" s="133">
        <f t="shared" si="20"/>
        <v>293.28000000000003</v>
      </c>
      <c r="D58" s="133">
        <f t="shared" si="20"/>
        <v>610.02239999999995</v>
      </c>
      <c r="E58" s="133">
        <f t="shared" si="20"/>
        <v>634.42329600000005</v>
      </c>
      <c r="F58" s="133">
        <f t="shared" si="20"/>
        <v>659.80022784000005</v>
      </c>
      <c r="G58" s="133">
        <f t="shared" si="20"/>
        <v>686.19223695360006</v>
      </c>
      <c r="H58" s="133">
        <f t="shared" si="20"/>
        <v>713.63992643174424</v>
      </c>
      <c r="I58" s="128">
        <f t="shared" ref="I58" si="23">SUM(B58:H58)</f>
        <v>3597.3580872253442</v>
      </c>
      <c r="J58" s="13"/>
      <c r="K58" s="13"/>
      <c r="L58" s="13"/>
      <c r="M58" s="13"/>
      <c r="N58" s="13"/>
      <c r="O58" s="13"/>
    </row>
    <row r="59" spans="1:15" x14ac:dyDescent="0.25">
      <c r="A59" s="90" t="str">
        <f t="shared" ref="A59:A74" si="24">A19</f>
        <v>Наружная и печатная реклама</v>
      </c>
      <c r="B59" s="133">
        <f t="shared" si="20"/>
        <v>0</v>
      </c>
      <c r="C59" s="133">
        <f t="shared" si="20"/>
        <v>187.2</v>
      </c>
      <c r="D59" s="133">
        <f t="shared" si="20"/>
        <v>389.37599999999992</v>
      </c>
      <c r="E59" s="133">
        <f t="shared" si="20"/>
        <v>404.95104000000009</v>
      </c>
      <c r="F59" s="133">
        <f t="shared" si="20"/>
        <v>421.14908160000005</v>
      </c>
      <c r="G59" s="133">
        <f t="shared" si="20"/>
        <v>437.99504486400002</v>
      </c>
      <c r="H59" s="133">
        <f t="shared" si="20"/>
        <v>455.5148466585602</v>
      </c>
      <c r="I59" s="128">
        <f t="shared" si="21"/>
        <v>2296.1860131225603</v>
      </c>
      <c r="J59" s="13"/>
      <c r="K59" s="13"/>
      <c r="L59" s="13"/>
      <c r="M59" s="13"/>
      <c r="N59" s="13"/>
      <c r="O59" s="13"/>
    </row>
    <row r="60" spans="1:15" x14ac:dyDescent="0.25">
      <c r="A60" s="90" t="str">
        <f t="shared" si="24"/>
        <v>Бухгалтерское обслуживание</v>
      </c>
      <c r="B60" s="133">
        <f t="shared" si="20"/>
        <v>0</v>
      </c>
      <c r="C60" s="133">
        <f t="shared" si="20"/>
        <v>124.8</v>
      </c>
      <c r="D60" s="133">
        <f t="shared" si="20"/>
        <v>259.584</v>
      </c>
      <c r="E60" s="133">
        <f t="shared" si="20"/>
        <v>269.96735999999999</v>
      </c>
      <c r="F60" s="133">
        <f t="shared" si="20"/>
        <v>280.76605440000003</v>
      </c>
      <c r="G60" s="133">
        <f t="shared" si="20"/>
        <v>291.99669657600003</v>
      </c>
      <c r="H60" s="133">
        <f t="shared" si="20"/>
        <v>303.67656443904013</v>
      </c>
      <c r="I60" s="128">
        <f t="shared" si="21"/>
        <v>1530.7906754150404</v>
      </c>
      <c r="J60" s="13"/>
      <c r="K60" s="13"/>
      <c r="L60" s="13"/>
      <c r="M60" s="13"/>
      <c r="N60" s="13"/>
      <c r="O60" s="13"/>
    </row>
    <row r="61" spans="1:15" x14ac:dyDescent="0.25">
      <c r="A61" s="90" t="str">
        <f t="shared" si="24"/>
        <v>Офисные расходы</v>
      </c>
      <c r="B61" s="133">
        <f t="shared" si="20"/>
        <v>0</v>
      </c>
      <c r="C61" s="133">
        <f t="shared" si="20"/>
        <v>93.6</v>
      </c>
      <c r="D61" s="133">
        <f t="shared" si="20"/>
        <v>194.68799999999996</v>
      </c>
      <c r="E61" s="133">
        <f t="shared" si="20"/>
        <v>202.47552000000005</v>
      </c>
      <c r="F61" s="133">
        <f t="shared" si="20"/>
        <v>210.57454080000002</v>
      </c>
      <c r="G61" s="133">
        <f t="shared" si="20"/>
        <v>218.99752243200001</v>
      </c>
      <c r="H61" s="133">
        <f t="shared" si="20"/>
        <v>227.7574233292801</v>
      </c>
      <c r="I61" s="128">
        <f t="shared" si="21"/>
        <v>1148.0930065612802</v>
      </c>
      <c r="J61" s="13"/>
      <c r="K61" s="13"/>
      <c r="L61" s="13"/>
      <c r="M61" s="13"/>
      <c r="N61" s="13"/>
      <c r="O61" s="13"/>
    </row>
    <row r="62" spans="1:15" x14ac:dyDescent="0.25">
      <c r="A62" s="90" t="str">
        <f t="shared" si="24"/>
        <v>Связь и интернет</v>
      </c>
      <c r="B62" s="133">
        <f t="shared" si="20"/>
        <v>0</v>
      </c>
      <c r="C62" s="133">
        <f t="shared" si="20"/>
        <v>43.68</v>
      </c>
      <c r="D62" s="133">
        <f t="shared" si="20"/>
        <v>90.854400000000041</v>
      </c>
      <c r="E62" s="133">
        <f t="shared" si="20"/>
        <v>94.488576000000009</v>
      </c>
      <c r="F62" s="133">
        <f t="shared" si="20"/>
        <v>98.26811904000003</v>
      </c>
      <c r="G62" s="133">
        <f t="shared" si="20"/>
        <v>102.19884380160001</v>
      </c>
      <c r="H62" s="133">
        <f t="shared" si="20"/>
        <v>106.28679755366404</v>
      </c>
      <c r="I62" s="128">
        <f t="shared" si="21"/>
        <v>535.77673639526415</v>
      </c>
      <c r="J62" s="13"/>
      <c r="K62" s="13"/>
      <c r="L62" s="13"/>
      <c r="M62" s="13"/>
      <c r="N62" s="13"/>
      <c r="O62" s="13"/>
    </row>
    <row r="63" spans="1:15" x14ac:dyDescent="0.25">
      <c r="A63" s="90" t="str">
        <f t="shared" si="24"/>
        <v>Прочие расходы</v>
      </c>
      <c r="B63" s="133">
        <f t="shared" si="20"/>
        <v>0</v>
      </c>
      <c r="C63" s="133">
        <f t="shared" si="20"/>
        <v>312</v>
      </c>
      <c r="D63" s="133">
        <f t="shared" si="20"/>
        <v>648.96</v>
      </c>
      <c r="E63" s="133">
        <f t="shared" si="20"/>
        <v>674.91840000000002</v>
      </c>
      <c r="F63" s="133">
        <f t="shared" si="20"/>
        <v>701.91513600000019</v>
      </c>
      <c r="G63" s="133">
        <f t="shared" si="20"/>
        <v>729.99174144000028</v>
      </c>
      <c r="H63" s="133">
        <f t="shared" si="20"/>
        <v>759.19141109760005</v>
      </c>
      <c r="I63" s="128">
        <f t="shared" si="21"/>
        <v>3826.9766885376002</v>
      </c>
      <c r="J63" s="13"/>
      <c r="K63" s="13"/>
      <c r="L63" s="13"/>
      <c r="M63" s="13"/>
      <c r="N63" s="13"/>
      <c r="O63" s="13"/>
    </row>
    <row r="64" spans="1:15" x14ac:dyDescent="0.25">
      <c r="A64" s="131" t="str">
        <f t="shared" si="24"/>
        <v>Переменные расходы</v>
      </c>
      <c r="B64" s="127">
        <f t="shared" ref="B64:I64" si="25">SUM(B65:B74)</f>
        <v>0</v>
      </c>
      <c r="C64" s="127">
        <f t="shared" si="25"/>
        <v>5849.0837007183372</v>
      </c>
      <c r="D64" s="127">
        <f t="shared" si="25"/>
        <v>16679.731928518569</v>
      </c>
      <c r="E64" s="127">
        <f t="shared" si="25"/>
        <v>17905.647808022666</v>
      </c>
      <c r="F64" s="127">
        <f t="shared" si="25"/>
        <v>18621.873720343578</v>
      </c>
      <c r="G64" s="127">
        <f t="shared" si="25"/>
        <v>19366.748669157318</v>
      </c>
      <c r="H64" s="127">
        <f t="shared" si="25"/>
        <v>20141.418615923612</v>
      </c>
      <c r="I64" s="127">
        <f t="shared" si="25"/>
        <v>98564.504442684076</v>
      </c>
      <c r="J64" s="13"/>
      <c r="K64" s="13"/>
      <c r="L64" s="13"/>
      <c r="M64" s="13"/>
      <c r="N64" s="13"/>
      <c r="O64" s="13"/>
    </row>
    <row r="65" spans="1:15" x14ac:dyDescent="0.25">
      <c r="A65" s="90" t="str">
        <f t="shared" si="24"/>
        <v>Электроэнергия</v>
      </c>
      <c r="B65" s="133">
        <f t="shared" ref="B65:H74" si="26">SUMIF($B$8:$BX$8,B$50,$B25:$BX25)</f>
        <v>0</v>
      </c>
      <c r="C65" s="133">
        <f t="shared" si="26"/>
        <v>751.36025502720008</v>
      </c>
      <c r="D65" s="133">
        <f t="shared" si="26"/>
        <v>2142.6411856711684</v>
      </c>
      <c r="E65" s="133">
        <f t="shared" si="26"/>
        <v>2300.1196070780929</v>
      </c>
      <c r="F65" s="133">
        <f t="shared" si="26"/>
        <v>2392.1243913612161</v>
      </c>
      <c r="G65" s="133">
        <f t="shared" si="26"/>
        <v>2487.8093670156659</v>
      </c>
      <c r="H65" s="133">
        <f t="shared" si="26"/>
        <v>2587.3217416962921</v>
      </c>
      <c r="I65" s="128">
        <f t="shared" ref="I65:I74" si="27">SUM(B65:H65)</f>
        <v>12661.376547849637</v>
      </c>
      <c r="J65" s="13"/>
      <c r="K65" s="13"/>
      <c r="L65" s="13"/>
      <c r="M65" s="13"/>
      <c r="N65" s="13"/>
      <c r="O65" s="13"/>
    </row>
    <row r="66" spans="1:15" x14ac:dyDescent="0.25">
      <c r="A66" s="90" t="str">
        <f t="shared" si="24"/>
        <v>Водоснабжение и водоотведение</v>
      </c>
      <c r="B66" s="133">
        <f t="shared" si="26"/>
        <v>0</v>
      </c>
      <c r="C66" s="133">
        <f t="shared" si="26"/>
        <v>591.62943005337604</v>
      </c>
      <c r="D66" s="133">
        <f t="shared" si="26"/>
        <v>1687.1395246234217</v>
      </c>
      <c r="E66" s="133">
        <f t="shared" si="26"/>
        <v>1811.1397869201164</v>
      </c>
      <c r="F66" s="133">
        <f t="shared" si="26"/>
        <v>1883.5853783969212</v>
      </c>
      <c r="G66" s="133">
        <f t="shared" si="26"/>
        <v>1958.9287935327982</v>
      </c>
      <c r="H66" s="133">
        <f t="shared" si="26"/>
        <v>2037.2859452741102</v>
      </c>
      <c r="I66" s="128">
        <f t="shared" si="27"/>
        <v>9969.7088588007446</v>
      </c>
      <c r="J66" s="13"/>
      <c r="K66" s="13"/>
      <c r="L66" s="13"/>
      <c r="M66" s="13"/>
      <c r="N66" s="13"/>
      <c r="O66" s="13"/>
    </row>
    <row r="67" spans="1:15" x14ac:dyDescent="0.25">
      <c r="A67" s="90" t="str">
        <f t="shared" si="24"/>
        <v>Вывоз мусора</v>
      </c>
      <c r="B67" s="133">
        <f t="shared" si="26"/>
        <v>0</v>
      </c>
      <c r="C67" s="133">
        <f t="shared" si="26"/>
        <v>20.581358204160008</v>
      </c>
      <c r="D67" s="133">
        <f t="shared" si="26"/>
        <v>58.691507103590418</v>
      </c>
      <c r="E67" s="133">
        <f t="shared" si="26"/>
        <v>63.005176583331853</v>
      </c>
      <c r="F67" s="133">
        <f t="shared" si="26"/>
        <v>65.525383646665119</v>
      </c>
      <c r="G67" s="133">
        <f t="shared" si="26"/>
        <v>68.146398992531743</v>
      </c>
      <c r="H67" s="133">
        <f t="shared" si="26"/>
        <v>70.872254952233021</v>
      </c>
      <c r="I67" s="128">
        <f t="shared" si="27"/>
        <v>346.82207948251209</v>
      </c>
      <c r="J67" s="13"/>
      <c r="K67" s="13"/>
      <c r="L67" s="13"/>
      <c r="M67" s="13"/>
      <c r="N67" s="13"/>
      <c r="O67" s="13"/>
    </row>
    <row r="68" spans="1:15" x14ac:dyDescent="0.25">
      <c r="A68" s="90" t="str">
        <f t="shared" si="24"/>
        <v>Эксплуатационные расходы</v>
      </c>
      <c r="B68" s="133">
        <f t="shared" si="26"/>
        <v>0</v>
      </c>
      <c r="C68" s="133">
        <f t="shared" si="26"/>
        <v>1202.9658990336002</v>
      </c>
      <c r="D68" s="133">
        <f t="shared" si="26"/>
        <v>3430.4772750243842</v>
      </c>
      <c r="E68" s="133">
        <f t="shared" si="26"/>
        <v>3682.6082195595259</v>
      </c>
      <c r="F68" s="133">
        <f t="shared" si="26"/>
        <v>3829.9125483419075</v>
      </c>
      <c r="G68" s="133">
        <f t="shared" si="26"/>
        <v>3983.1090502755842</v>
      </c>
      <c r="H68" s="133">
        <f t="shared" si="26"/>
        <v>4142.4334122866076</v>
      </c>
      <c r="I68" s="128">
        <f t="shared" si="27"/>
        <v>20271.506404521606</v>
      </c>
      <c r="J68" s="13"/>
      <c r="K68" s="13"/>
      <c r="L68" s="13"/>
      <c r="M68" s="13"/>
      <c r="N68" s="13"/>
      <c r="O68" s="13"/>
    </row>
    <row r="69" spans="1:15" x14ac:dyDescent="0.25">
      <c r="A69" s="90" t="str">
        <f t="shared" si="24"/>
        <v>Услуги сервисов бронирования</v>
      </c>
      <c r="B69" s="133">
        <f t="shared" si="26"/>
        <v>0</v>
      </c>
      <c r="C69" s="133">
        <f t="shared" si="26"/>
        <v>503.93041920000007</v>
      </c>
      <c r="D69" s="133">
        <f t="shared" si="26"/>
        <v>1437.0497556480004</v>
      </c>
      <c r="E69" s="133">
        <f t="shared" si="26"/>
        <v>1542.6690859008002</v>
      </c>
      <c r="F69" s="133">
        <f t="shared" si="26"/>
        <v>1604.3758493368325</v>
      </c>
      <c r="G69" s="133">
        <f t="shared" si="26"/>
        <v>1668.5508833103056</v>
      </c>
      <c r="H69" s="133">
        <f t="shared" si="26"/>
        <v>1735.2929186427177</v>
      </c>
      <c r="I69" s="128">
        <f t="shared" ref="I69:I71" si="28">SUM(B69:H69)</f>
        <v>8491.8689120386571</v>
      </c>
      <c r="J69" s="13"/>
      <c r="K69" s="13"/>
      <c r="L69" s="13"/>
      <c r="M69" s="13"/>
      <c r="N69" s="13"/>
      <c r="O69" s="13"/>
    </row>
    <row r="70" spans="1:15" x14ac:dyDescent="0.25">
      <c r="A70" s="90" t="str">
        <f t="shared" si="24"/>
        <v>Услуги турагентств</v>
      </c>
      <c r="B70" s="133">
        <f t="shared" si="26"/>
        <v>0</v>
      </c>
      <c r="C70" s="133">
        <f t="shared" si="26"/>
        <v>503.93041920000007</v>
      </c>
      <c r="D70" s="133">
        <f t="shared" si="26"/>
        <v>1437.0497556480004</v>
      </c>
      <c r="E70" s="133">
        <f t="shared" si="26"/>
        <v>1542.6690859008002</v>
      </c>
      <c r="F70" s="133">
        <f t="shared" si="26"/>
        <v>1604.3758493368325</v>
      </c>
      <c r="G70" s="133">
        <f t="shared" si="26"/>
        <v>1668.5508833103056</v>
      </c>
      <c r="H70" s="133">
        <f t="shared" si="26"/>
        <v>1735.2929186427177</v>
      </c>
      <c r="I70" s="128">
        <f t="shared" si="28"/>
        <v>8491.8689120386571</v>
      </c>
      <c r="J70" s="13"/>
      <c r="K70" s="13"/>
      <c r="L70" s="13"/>
      <c r="M70" s="13"/>
      <c r="N70" s="13"/>
      <c r="O70" s="13"/>
    </row>
    <row r="71" spans="1:15" x14ac:dyDescent="0.25">
      <c r="A71" s="90" t="str">
        <f t="shared" si="24"/>
        <v>Контекстная реклама и таргетинг</v>
      </c>
      <c r="B71" s="133">
        <f t="shared" si="26"/>
        <v>0</v>
      </c>
      <c r="C71" s="133">
        <f t="shared" si="26"/>
        <v>419.94201600000014</v>
      </c>
      <c r="D71" s="133">
        <f t="shared" si="26"/>
        <v>1197.5414630400001</v>
      </c>
      <c r="E71" s="133">
        <f t="shared" si="26"/>
        <v>1285.557571584</v>
      </c>
      <c r="F71" s="133">
        <f t="shared" si="26"/>
        <v>1336.9798744473603</v>
      </c>
      <c r="G71" s="133">
        <f t="shared" si="26"/>
        <v>1390.4590694252549</v>
      </c>
      <c r="H71" s="133">
        <f t="shared" si="26"/>
        <v>1446.0774322022651</v>
      </c>
      <c r="I71" s="128">
        <f t="shared" si="28"/>
        <v>7076.5574266988806</v>
      </c>
      <c r="J71" s="13"/>
      <c r="K71" s="13"/>
      <c r="L71" s="13"/>
      <c r="M71" s="13"/>
      <c r="N71" s="13"/>
      <c r="O71" s="13"/>
    </row>
    <row r="72" spans="1:15" x14ac:dyDescent="0.25">
      <c r="A72" s="90" t="str">
        <f t="shared" si="24"/>
        <v>Продукты</v>
      </c>
      <c r="B72" s="133">
        <f t="shared" si="26"/>
        <v>0</v>
      </c>
      <c r="C72" s="133">
        <f t="shared" si="26"/>
        <v>1469.7970560000003</v>
      </c>
      <c r="D72" s="133">
        <f t="shared" si="26"/>
        <v>4191.3951206400016</v>
      </c>
      <c r="E72" s="133">
        <f t="shared" si="26"/>
        <v>4499.4515005439998</v>
      </c>
      <c r="F72" s="133">
        <f t="shared" si="26"/>
        <v>4679.4295605657608</v>
      </c>
      <c r="G72" s="133">
        <f t="shared" si="26"/>
        <v>4866.6067429883915</v>
      </c>
      <c r="H72" s="133">
        <f t="shared" si="26"/>
        <v>5061.2710127079281</v>
      </c>
      <c r="I72" s="128">
        <f t="shared" si="27"/>
        <v>24767.95099344608</v>
      </c>
      <c r="J72" s="13"/>
      <c r="K72" s="13"/>
      <c r="L72" s="13"/>
      <c r="M72" s="13"/>
      <c r="N72" s="13"/>
      <c r="O72" s="13"/>
    </row>
    <row r="73" spans="1:15" x14ac:dyDescent="0.25">
      <c r="A73" s="90" t="str">
        <f t="shared" si="24"/>
        <v>Расходные материалы</v>
      </c>
      <c r="B73" s="133">
        <f t="shared" si="26"/>
        <v>0</v>
      </c>
      <c r="C73" s="133">
        <f t="shared" si="26"/>
        <v>351.35148672000008</v>
      </c>
      <c r="D73" s="133">
        <f t="shared" si="26"/>
        <v>1001.9430240768</v>
      </c>
      <c r="E73" s="133">
        <f t="shared" si="26"/>
        <v>1075.5831682252801</v>
      </c>
      <c r="F73" s="133">
        <f t="shared" si="26"/>
        <v>1118.6064949542913</v>
      </c>
      <c r="G73" s="133">
        <f t="shared" si="26"/>
        <v>1163.3507547524632</v>
      </c>
      <c r="H73" s="133">
        <f t="shared" si="26"/>
        <v>1209.8847849425617</v>
      </c>
      <c r="I73" s="128">
        <f t="shared" si="27"/>
        <v>5920.7197136713967</v>
      </c>
      <c r="J73" s="13"/>
      <c r="K73" s="13"/>
      <c r="L73" s="13"/>
      <c r="M73" s="13"/>
      <c r="N73" s="13"/>
      <c r="O73" s="13"/>
    </row>
    <row r="74" spans="1:15" x14ac:dyDescent="0.25">
      <c r="A74" s="90" t="str">
        <f t="shared" si="24"/>
        <v>Ремонт и обновление спорт-инвентаря</v>
      </c>
      <c r="B74" s="133">
        <f t="shared" si="26"/>
        <v>0</v>
      </c>
      <c r="C74" s="133">
        <f t="shared" si="26"/>
        <v>33.595361280000006</v>
      </c>
      <c r="D74" s="133">
        <f t="shared" si="26"/>
        <v>95.803317043200039</v>
      </c>
      <c r="E74" s="133">
        <f t="shared" si="26"/>
        <v>102.84460572672002</v>
      </c>
      <c r="F74" s="133">
        <f t="shared" si="26"/>
        <v>106.95838995578883</v>
      </c>
      <c r="G74" s="133">
        <f t="shared" si="26"/>
        <v>111.2367255540204</v>
      </c>
      <c r="H74" s="133">
        <f t="shared" si="26"/>
        <v>115.68619457618122</v>
      </c>
      <c r="I74" s="128">
        <f t="shared" si="27"/>
        <v>566.12459413591057</v>
      </c>
      <c r="J74" s="13"/>
      <c r="K74" s="13"/>
      <c r="L74" s="13"/>
      <c r="M74" s="13"/>
      <c r="N74" s="13"/>
      <c r="O74" s="13"/>
    </row>
    <row r="75" spans="1:15" x14ac:dyDescent="0.25">
      <c r="A75" s="131" t="s">
        <v>109</v>
      </c>
      <c r="B75" s="127">
        <f t="shared" ref="B75:I75" si="29">B51+B64</f>
        <v>371.37300000000005</v>
      </c>
      <c r="C75" s="127">
        <f t="shared" si="29"/>
        <v>19424.027149631289</v>
      </c>
      <c r="D75" s="127">
        <f t="shared" si="29"/>
        <v>43084.746577422411</v>
      </c>
      <c r="E75" s="127">
        <f t="shared" si="29"/>
        <v>44846.920050491775</v>
      </c>
      <c r="F75" s="127">
        <f t="shared" si="29"/>
        <v>46127.057995167066</v>
      </c>
      <c r="G75" s="127">
        <f t="shared" si="29"/>
        <v>47464.605592675871</v>
      </c>
      <c r="H75" s="127">
        <f t="shared" si="29"/>
        <v>48722.675895798195</v>
      </c>
      <c r="I75" s="127">
        <f t="shared" si="29"/>
        <v>250041.40626118658</v>
      </c>
      <c r="J75" s="13"/>
      <c r="K75" s="13"/>
      <c r="L75" s="13"/>
      <c r="M75" s="13"/>
      <c r="N75" s="13"/>
      <c r="O75" s="13"/>
    </row>
    <row r="77" spans="1:15" x14ac:dyDescent="0.25">
      <c r="A77" s="13" t="s">
        <v>615</v>
      </c>
      <c r="B77" s="57"/>
    </row>
    <row r="78" spans="1:15" x14ac:dyDescent="0.25">
      <c r="A78" s="256" t="s">
        <v>166</v>
      </c>
      <c r="B78" s="395">
        <f>B50</f>
        <v>2020</v>
      </c>
      <c r="C78" s="395">
        <f t="shared" ref="C78:H78" si="30">C50</f>
        <v>2021</v>
      </c>
      <c r="D78" s="395">
        <f t="shared" si="30"/>
        <v>2022</v>
      </c>
      <c r="E78" s="395">
        <f t="shared" si="30"/>
        <v>2023</v>
      </c>
      <c r="F78" s="395">
        <f t="shared" si="30"/>
        <v>2024</v>
      </c>
      <c r="G78" s="395">
        <f t="shared" si="30"/>
        <v>2025</v>
      </c>
      <c r="H78" s="395">
        <f t="shared" si="30"/>
        <v>2026</v>
      </c>
      <c r="I78" s="256" t="s">
        <v>50</v>
      </c>
    </row>
    <row r="79" spans="1:15" x14ac:dyDescent="0.25">
      <c r="A79" s="159" t="s">
        <v>44</v>
      </c>
      <c r="B79" s="158">
        <f>SUM(B80:B83)</f>
        <v>0</v>
      </c>
      <c r="C79" s="158">
        <f t="shared" ref="C79:I79" si="31">SUM(C80:C83)</f>
        <v>1615.0028544000004</v>
      </c>
      <c r="D79" s="158">
        <f t="shared" si="31"/>
        <v>4461.0169743360011</v>
      </c>
      <c r="E79" s="158">
        <f t="shared" si="31"/>
        <v>4775.8467833856012</v>
      </c>
      <c r="F79" s="158">
        <f t="shared" si="31"/>
        <v>4966.8806547210252</v>
      </c>
      <c r="G79" s="158">
        <f t="shared" si="31"/>
        <v>5165.5558809098657</v>
      </c>
      <c r="H79" s="158">
        <f t="shared" si="31"/>
        <v>5372.1781161462604</v>
      </c>
      <c r="I79" s="158">
        <f t="shared" si="31"/>
        <v>26356.481263898753</v>
      </c>
    </row>
    <row r="80" spans="1:15" x14ac:dyDescent="0.25">
      <c r="A80" s="90" t="str">
        <f>A59</f>
        <v>Наружная и печатная реклама</v>
      </c>
      <c r="B80" s="133">
        <f>B59</f>
        <v>0</v>
      </c>
      <c r="C80" s="133">
        <f t="shared" ref="C80:H80" si="32">C59</f>
        <v>187.2</v>
      </c>
      <c r="D80" s="133">
        <f t="shared" si="32"/>
        <v>389.37599999999992</v>
      </c>
      <c r="E80" s="133">
        <f t="shared" si="32"/>
        <v>404.95104000000009</v>
      </c>
      <c r="F80" s="133">
        <f t="shared" si="32"/>
        <v>421.14908160000005</v>
      </c>
      <c r="G80" s="133">
        <f t="shared" si="32"/>
        <v>437.99504486400002</v>
      </c>
      <c r="H80" s="133">
        <f t="shared" si="32"/>
        <v>455.5148466585602</v>
      </c>
      <c r="I80" s="128">
        <f>SUM(B80:H80)</f>
        <v>2296.1860131225603</v>
      </c>
    </row>
    <row r="81" spans="1:15" x14ac:dyDescent="0.25">
      <c r="A81" s="90" t="str">
        <f>A69</f>
        <v>Услуги сервисов бронирования</v>
      </c>
      <c r="B81" s="133">
        <f>B69</f>
        <v>0</v>
      </c>
      <c r="C81" s="133">
        <f t="shared" ref="C81:H81" si="33">C69</f>
        <v>503.93041920000007</v>
      </c>
      <c r="D81" s="133">
        <f t="shared" si="33"/>
        <v>1437.0497556480004</v>
      </c>
      <c r="E81" s="133">
        <f t="shared" si="33"/>
        <v>1542.6690859008002</v>
      </c>
      <c r="F81" s="133">
        <f t="shared" si="33"/>
        <v>1604.3758493368325</v>
      </c>
      <c r="G81" s="133">
        <f t="shared" si="33"/>
        <v>1668.5508833103056</v>
      </c>
      <c r="H81" s="133">
        <f t="shared" si="33"/>
        <v>1735.2929186427177</v>
      </c>
      <c r="I81" s="128">
        <f>SUM(B81:H81)</f>
        <v>8491.8689120386571</v>
      </c>
    </row>
    <row r="82" spans="1:15" x14ac:dyDescent="0.25">
      <c r="A82" s="90" t="str">
        <f>A70</f>
        <v>Услуги турагентств</v>
      </c>
      <c r="B82" s="133">
        <f t="shared" ref="B82:H83" si="34">B70</f>
        <v>0</v>
      </c>
      <c r="C82" s="133">
        <f t="shared" si="34"/>
        <v>503.93041920000007</v>
      </c>
      <c r="D82" s="133">
        <f t="shared" si="34"/>
        <v>1437.0497556480004</v>
      </c>
      <c r="E82" s="133">
        <f t="shared" si="34"/>
        <v>1542.6690859008002</v>
      </c>
      <c r="F82" s="133">
        <f t="shared" si="34"/>
        <v>1604.3758493368325</v>
      </c>
      <c r="G82" s="133">
        <f t="shared" si="34"/>
        <v>1668.5508833103056</v>
      </c>
      <c r="H82" s="133">
        <f t="shared" si="34"/>
        <v>1735.2929186427177</v>
      </c>
      <c r="I82" s="128">
        <f t="shared" ref="I82:I83" si="35">SUM(B82:H82)</f>
        <v>8491.8689120386571</v>
      </c>
    </row>
    <row r="83" spans="1:15" x14ac:dyDescent="0.25">
      <c r="A83" s="90" t="str">
        <f>A71</f>
        <v>Контекстная реклама и таргетинг</v>
      </c>
      <c r="B83" s="133">
        <f t="shared" si="34"/>
        <v>0</v>
      </c>
      <c r="C83" s="133">
        <f t="shared" si="34"/>
        <v>419.94201600000014</v>
      </c>
      <c r="D83" s="133">
        <f t="shared" si="34"/>
        <v>1197.5414630400001</v>
      </c>
      <c r="E83" s="133">
        <f t="shared" si="34"/>
        <v>1285.557571584</v>
      </c>
      <c r="F83" s="133">
        <f t="shared" si="34"/>
        <v>1336.9798744473603</v>
      </c>
      <c r="G83" s="133">
        <f t="shared" si="34"/>
        <v>1390.4590694252549</v>
      </c>
      <c r="H83" s="133">
        <f t="shared" si="34"/>
        <v>1446.0774322022651</v>
      </c>
      <c r="I83" s="128">
        <f t="shared" si="35"/>
        <v>7076.5574266988806</v>
      </c>
    </row>
    <row r="84" spans="1:15" x14ac:dyDescent="0.25">
      <c r="B84" s="57"/>
    </row>
    <row r="85" spans="1:15" x14ac:dyDescent="0.25">
      <c r="A85" s="16" t="s">
        <v>614</v>
      </c>
    </row>
    <row r="86" spans="1:15" x14ac:dyDescent="0.25">
      <c r="A86" s="84" t="s">
        <v>24</v>
      </c>
      <c r="B86" s="84" t="s">
        <v>52</v>
      </c>
      <c r="C86" s="395">
        <f>B50</f>
        <v>2020</v>
      </c>
      <c r="D86" s="395">
        <f t="shared" ref="D86:I86" si="36">C50</f>
        <v>2021</v>
      </c>
      <c r="E86" s="395">
        <f t="shared" si="36"/>
        <v>2022</v>
      </c>
      <c r="F86" s="395">
        <f t="shared" si="36"/>
        <v>2023</v>
      </c>
      <c r="G86" s="395">
        <f t="shared" si="36"/>
        <v>2024</v>
      </c>
      <c r="H86" s="395">
        <f t="shared" si="36"/>
        <v>2025</v>
      </c>
      <c r="I86" s="395">
        <f t="shared" si="36"/>
        <v>2026</v>
      </c>
      <c r="J86" s="13"/>
      <c r="K86" s="13"/>
      <c r="L86" s="13"/>
      <c r="M86" s="13"/>
      <c r="N86" s="13"/>
      <c r="O86" s="13"/>
    </row>
    <row r="87" spans="1:15" x14ac:dyDescent="0.25">
      <c r="A87" s="131" t="s">
        <v>589</v>
      </c>
      <c r="B87" s="127"/>
      <c r="C87" s="127"/>
      <c r="D87" s="127"/>
      <c r="E87" s="127"/>
      <c r="F87" s="127"/>
      <c r="G87" s="127"/>
      <c r="H87" s="127"/>
      <c r="I87" s="127"/>
      <c r="J87" s="13"/>
      <c r="K87" s="13"/>
      <c r="L87" s="13"/>
      <c r="M87" s="13"/>
      <c r="N87" s="13"/>
      <c r="O87" s="13"/>
    </row>
    <row r="88" spans="1:15" x14ac:dyDescent="0.25">
      <c r="A88" s="90" t="str">
        <f>'Книга допущений'!A135</f>
        <v>Проживание</v>
      </c>
      <c r="B88" s="128" t="str">
        <f>'Книга допущений'!B148</f>
        <v>руб./дом/сут.</v>
      </c>
      <c r="C88" s="128" t="s">
        <v>605</v>
      </c>
      <c r="D88" s="128">
        <f>(SUM(C$55:C$63)/'План продаж'!D$51*'План продаж'!D52+ФОТ!C110+'План продаж'!D52*'Книга допущений'!$E$194)/'План продаж'!D38*1000</f>
        <v>2305.0841461349864</v>
      </c>
      <c r="E88" s="128">
        <f>(SUM(D$55:D$63)/'План продаж'!E$51*'План продаж'!E52+ФОТ!D110+'План продаж'!E52*'Книга допущений'!$E$194)/'План продаж'!E38*1000</f>
        <v>2012.9493464709403</v>
      </c>
      <c r="F88" s="128">
        <f>(SUM(E$55:E$63)/'План продаж'!F$51*'План продаж'!F52+ФОТ!E110+'План продаж'!F52*'Книга допущений'!$E$194)/'План продаж'!F38*1000</f>
        <v>2045.3292596262638</v>
      </c>
      <c r="G88" s="128">
        <f>(SUM(F$55:F$63)/'План продаж'!G$51*'План продаж'!G52+ФОТ!F110+'План продаж'!G52*'Книга допущений'!$E$194)/'План продаж'!G38*1000</f>
        <v>2115.206554438304</v>
      </c>
      <c r="H88" s="128">
        <f>(SUM(G$55:G$63)/'План продаж'!H$51*'План продаж'!H52+ФОТ!G110+'План продаж'!H52*'Книга допущений'!$E$194)/'План продаж'!H38*1000</f>
        <v>2188.2427744731658</v>
      </c>
      <c r="I88" s="128">
        <f>(SUM(H$55:H$63)/'План продаж'!I$51*'План продаж'!I52+ФОТ!H110+'План продаж'!I52*'Книга допущений'!$E$194)/'План продаж'!I38*1000</f>
        <v>2264.6121690942236</v>
      </c>
      <c r="J88" s="13"/>
      <c r="K88" s="13"/>
      <c r="L88" s="13"/>
      <c r="M88" s="13"/>
      <c r="N88" s="13"/>
      <c r="O88" s="13"/>
    </row>
    <row r="89" spans="1:15" x14ac:dyDescent="0.25">
      <c r="A89" s="90" t="str">
        <f>'Книга допущений'!A136</f>
        <v>Питание</v>
      </c>
      <c r="B89" s="128" t="str">
        <f>'Книга допущений'!B149</f>
        <v>руб./чел./дн.</v>
      </c>
      <c r="C89" s="128" t="s">
        <v>605</v>
      </c>
      <c r="D89" s="128">
        <f>(SUM(C$55:C$63)/'План продаж'!D$51*'План продаж'!D53+ФОТ!C111+'План продаж'!D53*'Книга допущений'!$E$202)/'План продаж'!D39*1000</f>
        <v>716.43491865038402</v>
      </c>
      <c r="E89" s="128">
        <f>(SUM(D$55:D$63)/'План продаж'!E$51*'План продаж'!E53+ФОТ!D111+'План продаж'!E53*'Книга допущений'!$E$202)/'План продаж'!E39*1000</f>
        <v>658.73767073431736</v>
      </c>
      <c r="F89" s="128">
        <f>(SUM(E$55:E$63)/'План продаж'!F$51*'План продаж'!F53+ФОТ!E111+'План продаж'!F53*'Книга допущений'!$E$202)/'План продаж'!F39*1000</f>
        <v>671.2630293114687</v>
      </c>
      <c r="G89" s="128">
        <f>(SUM(F$55:F$63)/'План продаж'!G$51*'План продаж'!G53+ФОТ!F111+'План продаж'!G53*'Книга допущений'!$E$202)/'План продаж'!G39*1000</f>
        <v>695.47982787172089</v>
      </c>
      <c r="H89" s="128">
        <f>(SUM(G$55:G$63)/'План продаж'!H$51*'План продаж'!H53+ФОТ!G111+'План продаж'!H53*'Книга допущений'!$E$202)/'План продаж'!H39*1000</f>
        <v>720.74558040536624</v>
      </c>
      <c r="I89" s="128">
        <f>(SUM(H$55:H$63)/'План продаж'!I$51*'План продаж'!I53+ФОТ!H111+'План продаж'!I53*'Книга допущений'!$E$202)/'План продаж'!I39*1000</f>
        <v>747.11281280691446</v>
      </c>
      <c r="J89" s="13"/>
      <c r="K89" s="13"/>
      <c r="L89" s="13"/>
      <c r="M89" s="13"/>
      <c r="N89" s="13"/>
      <c r="O89" s="13"/>
    </row>
    <row r="90" spans="1:15" x14ac:dyDescent="0.25">
      <c r="A90" s="90" t="str">
        <f>'Книга допущений'!A137</f>
        <v>Банный комплекс</v>
      </c>
      <c r="B90" s="128" t="str">
        <f>'Книга допущений'!B150</f>
        <v>руб./чел./сеанс</v>
      </c>
      <c r="C90" s="128" t="s">
        <v>605</v>
      </c>
      <c r="D90" s="128">
        <f>(SUM(C$55:C$63)/'План продаж'!D$51*'План продаж'!D54+ФОТ!C112+'План продаж'!D54*'Книга допущений'!$E207)/'План продаж'!D40*1000</f>
        <v>196.35373653795816</v>
      </c>
      <c r="E90" s="128">
        <f>(SUM(D$55:D$63)/'План продаж'!E$51*'План продаж'!E54+ФОТ!D112+'План продаж'!E54*'Книга допущений'!$E207)/'План продаж'!E40*1000</f>
        <v>179.47389903897076</v>
      </c>
      <c r="F90" s="128">
        <f>(SUM(E$55:E$63)/'План продаж'!F$51*'План продаж'!F54+ФОТ!E112+'План продаж'!F54*'Книга допущений'!$E207)/'План продаж'!F40*1000</f>
        <v>183.06948158075096</v>
      </c>
      <c r="G90" s="128">
        <f>(SUM(F$55:F$63)/'План продаж'!G$51*'План продаж'!G54+ФОТ!F112+'План продаж'!G54*'Книга допущений'!$E207)/'План продаж'!G40*1000</f>
        <v>189.07539953787776</v>
      </c>
      <c r="H90" s="128">
        <f>(SUM(G$55:G$63)/'План продаж'!H$51*'План продаж'!H54+ФОТ!G112+'План продаж'!H54*'Книга допущений'!$E207)/'План продаж'!H40*1000</f>
        <v>195.36169522878106</v>
      </c>
      <c r="I90" s="128">
        <f>(SUM(H$55:H$63)/'План продаж'!I$51*'План продаж'!I54+ФОТ!H112+'План продаж'!I54*'Книга допущений'!$E207)/'План продаж'!I40*1000</f>
        <v>201.94486763059896</v>
      </c>
      <c r="J90" s="13"/>
      <c r="K90" s="13"/>
      <c r="L90" s="13"/>
      <c r="M90" s="13"/>
      <c r="N90" s="13"/>
      <c r="O90" s="13"/>
    </row>
    <row r="91" spans="1:15" x14ac:dyDescent="0.25">
      <c r="A91" s="90" t="str">
        <f>'Книга допущений'!A138</f>
        <v>Прокат спортивного инвентаря</v>
      </c>
      <c r="B91" s="128" t="str">
        <f>'Книга допущений'!B151</f>
        <v>руб./чел./сеанс</v>
      </c>
      <c r="C91" s="128" t="s">
        <v>605</v>
      </c>
      <c r="D91" s="128">
        <f>(SUM(C$55:C$63)/'План продаж'!D$51*'План продаж'!D55+ФОТ!C113+'План продаж'!D55*'Книга допущений'!$E211)/'План продаж'!D41*1000</f>
        <v>116.05706923036654</v>
      </c>
      <c r="E91" s="128">
        <f>(SUM(D$55:D$63)/'План продаж'!E$51*'План продаж'!E55+ФОТ!D113+'План продаж'!E55*'Книга допущений'!$E211)/'План продаж'!E41*1000</f>
        <v>100.91216243117665</v>
      </c>
      <c r="F91" s="128">
        <f>(SUM(E$55:E$63)/'План продаж'!F$51*'План продаж'!F55+ФОТ!E113+'План продаж'!F55*'Книга допущений'!$E211)/'План продаж'!F41*1000</f>
        <v>102.0819501926008</v>
      </c>
      <c r="G91" s="128">
        <f>(SUM(F$55:F$63)/'План продаж'!G$51*'План продаж'!G55+ФОТ!F113+'План продаж'!G55*'Книга допущений'!$E211)/'План продаж'!G41*1000</f>
        <v>105.1117391554222</v>
      </c>
      <c r="H91" s="128">
        <f>(SUM(G$55:G$63)/'План продаж'!H$51*'План продаж'!H55+ФОТ!G113+'План продаж'!H55*'Книга допущений'!$E211)/'План продаж'!H41*1000</f>
        <v>108.29483248914968</v>
      </c>
      <c r="I91" s="128">
        <f>(SUM(H$55:H$63)/'План продаж'!I$51*'План продаж'!I55+ФОТ!H113+'План продаж'!I55*'Книга допущений'!$E211)/'План продаж'!I41*1000</f>
        <v>111.64158946284903</v>
      </c>
      <c r="J91" s="13"/>
      <c r="K91" s="13"/>
      <c r="L91" s="13"/>
      <c r="M91" s="13"/>
      <c r="N91" s="13"/>
      <c r="O91" s="13"/>
    </row>
    <row r="92" spans="1:15" x14ac:dyDescent="0.25">
      <c r="A92" s="90" t="str">
        <f>'Книга допущений'!A139</f>
        <v>Барбекю-парк</v>
      </c>
      <c r="B92" s="128" t="str">
        <f>'Книга допущений'!B152</f>
        <v>руб./домик/сутки</v>
      </c>
      <c r="C92" s="128" t="s">
        <v>605</v>
      </c>
      <c r="D92" s="128">
        <f>(SUM(C$55:C$63)/'План продаж'!D$51*'План продаж'!D56+ФОТ!C114+'План продаж'!D56*'Книга допущений'!$E213)/'План продаж'!D42*1000</f>
        <v>1078.4280192277488</v>
      </c>
      <c r="E92" s="128">
        <f>(SUM(D$55:D$63)/'План продаж'!E$51*'План продаж'!E56+ФОТ!D114+'План продаж'!E56*'Книга допущений'!$E213)/'План продаж'!E42*1000</f>
        <v>973.16121823382468</v>
      </c>
      <c r="F92" s="128">
        <f>(SUM(E$55:E$63)/'План продаж'!F$51*'План продаж'!F56+ФОТ!E114+'План продаж'!F56*'Книга допущений'!$E213)/'План продаж'!F42*1000</f>
        <v>990.5874264445057</v>
      </c>
      <c r="G92" s="128">
        <f>(SUM(F$55:F$63)/'План продаж'!G$51*'План продаж'!G56+ФОТ!F114+'План продаж'!G56*'Книга допущений'!$E213)/'План продаж'!G42*1000</f>
        <v>1022.3097556656664</v>
      </c>
      <c r="H92" s="128">
        <f>(SUM(G$55:G$63)/'План продаж'!H$51*'План продаж'!H56+ФОТ!G114+'План продаж'!H56*'Книга допущений'!$E213)/'План продаж'!H42*1000</f>
        <v>1055.5418241486223</v>
      </c>
      <c r="I92" s="128">
        <f>(SUM(H$55:H$63)/'План продаж'!I$51*'План продаж'!I56+ФОТ!H114+'План продаж'!I56*'Книга допущений'!$E213)/'План продаж'!I42*1000</f>
        <v>1090.3757246705673</v>
      </c>
      <c r="J92" s="13"/>
      <c r="K92" s="13"/>
      <c r="L92" s="13"/>
      <c r="M92" s="13"/>
      <c r="N92" s="13"/>
      <c r="O92" s="13"/>
    </row>
    <row r="93" spans="1:15" x14ac:dyDescent="0.25">
      <c r="A93" s="131" t="s">
        <v>372</v>
      </c>
      <c r="B93" s="127"/>
      <c r="C93" s="160"/>
      <c r="D93" s="160"/>
      <c r="E93" s="160"/>
      <c r="F93" s="160"/>
      <c r="G93" s="160"/>
      <c r="H93" s="160"/>
      <c r="I93" s="160"/>
      <c r="J93" s="13"/>
      <c r="K93" s="13"/>
      <c r="L93" s="13"/>
      <c r="M93" s="13"/>
      <c r="N93" s="13"/>
      <c r="O93" s="13"/>
    </row>
    <row r="94" spans="1:15" x14ac:dyDescent="0.25">
      <c r="A94" s="90" t="str">
        <f t="shared" ref="A94:B98" si="37">A88</f>
        <v>Проживание</v>
      </c>
      <c r="B94" s="128" t="str">
        <f t="shared" si="37"/>
        <v>руб./дом/сут.</v>
      </c>
      <c r="C94" s="91">
        <f>'План продаж'!C46</f>
        <v>0</v>
      </c>
      <c r="D94" s="92">
        <f>'План продаж'!D46</f>
        <v>4868.9831556173704</v>
      </c>
      <c r="E94" s="92">
        <f>'План продаж'!E46</f>
        <v>4926.3592864992816</v>
      </c>
      <c r="F94" s="92">
        <f>'План продаж'!F46</f>
        <v>5097.8173169533156</v>
      </c>
      <c r="G94" s="92">
        <f>'План продаж'!G46</f>
        <v>5301.7300096314502</v>
      </c>
      <c r="H94" s="92">
        <f>'План продаж'!H46</f>
        <v>5513.7992100167075</v>
      </c>
      <c r="I94" s="92">
        <f>'План продаж'!I46</f>
        <v>5734.351178417377</v>
      </c>
      <c r="J94" s="13"/>
      <c r="K94" s="13"/>
      <c r="L94" s="13"/>
      <c r="M94" s="13"/>
      <c r="N94" s="13"/>
      <c r="O94" s="13"/>
    </row>
    <row r="95" spans="1:15" x14ac:dyDescent="0.25">
      <c r="A95" s="90" t="str">
        <f t="shared" si="37"/>
        <v>Питание</v>
      </c>
      <c r="B95" s="128" t="str">
        <f t="shared" si="37"/>
        <v>руб./чел./дн.</v>
      </c>
      <c r="C95" s="92">
        <f>'План продаж'!C47</f>
        <v>0</v>
      </c>
      <c r="D95" s="92">
        <f>'План продаж'!D47</f>
        <v>1039.9999999999998</v>
      </c>
      <c r="E95" s="92">
        <f>'План продаж'!E47</f>
        <v>1081.6000000000001</v>
      </c>
      <c r="F95" s="92">
        <f>'План продаж'!F47</f>
        <v>1124.864</v>
      </c>
      <c r="G95" s="92">
        <f>'План продаж'!G47</f>
        <v>1169.8585600000001</v>
      </c>
      <c r="H95" s="92">
        <f>'План продаж'!H47</f>
        <v>1216.6529024000004</v>
      </c>
      <c r="I95" s="92">
        <f>'План продаж'!I47</f>
        <v>1265.3190184960006</v>
      </c>
      <c r="J95" s="13"/>
      <c r="K95" s="13"/>
      <c r="L95" s="13"/>
      <c r="M95" s="13"/>
      <c r="N95" s="13"/>
      <c r="O95" s="13"/>
    </row>
    <row r="96" spans="1:15" x14ac:dyDescent="0.25">
      <c r="A96" s="90" t="str">
        <f t="shared" si="37"/>
        <v>Банный комплекс</v>
      </c>
      <c r="B96" s="128" t="str">
        <f t="shared" si="37"/>
        <v>руб./чел./сеанс</v>
      </c>
      <c r="C96" s="92">
        <f>'План продаж'!C48</f>
        <v>0</v>
      </c>
      <c r="D96" s="92">
        <f>'План продаж'!D48</f>
        <v>520</v>
      </c>
      <c r="E96" s="92">
        <f>'План продаж'!E48</f>
        <v>540.79999999999995</v>
      </c>
      <c r="F96" s="92">
        <f>'План продаж'!F48</f>
        <v>562.4319999999999</v>
      </c>
      <c r="G96" s="92">
        <f>'План продаж'!G48</f>
        <v>584.92928000000006</v>
      </c>
      <c r="H96" s="92">
        <f>'План продаж'!H48</f>
        <v>608.32645120000007</v>
      </c>
      <c r="I96" s="92">
        <f>'План продаж'!I48</f>
        <v>632.65950924799995</v>
      </c>
      <c r="J96" s="13"/>
      <c r="K96" s="13"/>
      <c r="L96" s="13"/>
      <c r="M96" s="13"/>
      <c r="N96" s="13"/>
      <c r="O96" s="13"/>
    </row>
    <row r="97" spans="1:15" x14ac:dyDescent="0.25">
      <c r="A97" s="90" t="str">
        <f t="shared" si="37"/>
        <v>Прокат спортивного инвентаря</v>
      </c>
      <c r="B97" s="128" t="str">
        <f t="shared" si="37"/>
        <v>руб./чел./сеанс</v>
      </c>
      <c r="C97" s="92">
        <f>'План продаж'!C49</f>
        <v>0</v>
      </c>
      <c r="D97" s="92">
        <f>'План продаж'!D49</f>
        <v>415.99999999999994</v>
      </c>
      <c r="E97" s="92">
        <f>'План продаж'!E49</f>
        <v>432.6400000000001</v>
      </c>
      <c r="F97" s="92">
        <f>'План продаж'!F49</f>
        <v>449.94560000000007</v>
      </c>
      <c r="G97" s="92">
        <f>'План продаж'!G49</f>
        <v>467.94342400000016</v>
      </c>
      <c r="H97" s="92">
        <f>'План продаж'!H49</f>
        <v>486.66116096000025</v>
      </c>
      <c r="I97" s="92">
        <f>'План продаж'!I49</f>
        <v>506.12760739840013</v>
      </c>
      <c r="J97" s="13"/>
      <c r="K97" s="13"/>
      <c r="L97" s="13"/>
      <c r="M97" s="13"/>
      <c r="N97" s="13"/>
      <c r="O97" s="13"/>
    </row>
    <row r="98" spans="1:15" x14ac:dyDescent="0.25">
      <c r="A98" s="90" t="str">
        <f t="shared" si="37"/>
        <v>Барбекю-парк</v>
      </c>
      <c r="B98" s="128" t="str">
        <f t="shared" si="37"/>
        <v>руб./домик/сутки</v>
      </c>
      <c r="C98" s="92">
        <f>'План продаж'!C50</f>
        <v>0</v>
      </c>
      <c r="D98" s="92">
        <f>'План продаж'!D50</f>
        <v>3119.9999999999995</v>
      </c>
      <c r="E98" s="92">
        <f>'План продаж'!E50</f>
        <v>3244.8</v>
      </c>
      <c r="F98" s="92">
        <f>'План продаж'!F50</f>
        <v>3374.5919999999992</v>
      </c>
      <c r="G98" s="92">
        <f>'План продаж'!G50</f>
        <v>3509.5756800000013</v>
      </c>
      <c r="H98" s="92">
        <f>'План продаж'!H50</f>
        <v>3649.9587071999995</v>
      </c>
      <c r="I98" s="92">
        <f>'План продаж'!I50</f>
        <v>3795.9570554880002</v>
      </c>
      <c r="J98" s="13"/>
      <c r="K98" s="13"/>
      <c r="L98" s="13"/>
      <c r="M98" s="13"/>
      <c r="N98" s="13"/>
      <c r="O98" s="13"/>
    </row>
    <row r="99" spans="1:15" x14ac:dyDescent="0.25">
      <c r="A99" s="131" t="s">
        <v>373</v>
      </c>
      <c r="B99" s="127"/>
      <c r="C99" s="161"/>
      <c r="D99" s="161"/>
      <c r="E99" s="161"/>
      <c r="F99" s="161"/>
      <c r="G99" s="161"/>
      <c r="H99" s="161"/>
      <c r="I99" s="161"/>
      <c r="J99" s="13"/>
      <c r="K99" s="13"/>
      <c r="L99" s="13"/>
      <c r="M99" s="13"/>
      <c r="N99" s="13"/>
      <c r="O99" s="13"/>
    </row>
    <row r="100" spans="1:15" x14ac:dyDescent="0.25">
      <c r="A100" s="90" t="str">
        <f>A88</f>
        <v>Проживание</v>
      </c>
      <c r="B100" s="128" t="s">
        <v>54</v>
      </c>
      <c r="C100" s="162" t="s">
        <v>605</v>
      </c>
      <c r="D100" s="162">
        <f t="shared" ref="D100:G100" si="38">(D94-D88)/D94</f>
        <v>0.52657791730587544</v>
      </c>
      <c r="E100" s="162">
        <f t="shared" si="38"/>
        <v>0.59139209517514468</v>
      </c>
      <c r="F100" s="162">
        <f t="shared" si="38"/>
        <v>0.59878333560045183</v>
      </c>
      <c r="G100" s="162">
        <f t="shared" si="38"/>
        <v>0.601034652727376</v>
      </c>
      <c r="H100" s="162">
        <f t="shared" ref="H100:I100" si="39">(H94-H88)/H94</f>
        <v>0.6031333947565829</v>
      </c>
      <c r="I100" s="162">
        <f t="shared" si="39"/>
        <v>0.60507961604834359</v>
      </c>
      <c r="J100" s="13"/>
      <c r="K100" s="13"/>
      <c r="L100" s="13"/>
      <c r="M100" s="13"/>
      <c r="N100" s="13"/>
      <c r="O100" s="13"/>
    </row>
    <row r="101" spans="1:15" x14ac:dyDescent="0.25">
      <c r="A101" s="90" t="str">
        <f>A89</f>
        <v>Питание</v>
      </c>
      <c r="B101" s="128" t="s">
        <v>54</v>
      </c>
      <c r="C101" s="162" t="s">
        <v>605</v>
      </c>
      <c r="D101" s="162">
        <f t="shared" ref="D101:G104" si="40">(D95-D89)/D95</f>
        <v>0.31112027052847674</v>
      </c>
      <c r="E101" s="162">
        <f t="shared" si="40"/>
        <v>0.39095999377374513</v>
      </c>
      <c r="F101" s="162">
        <f t="shared" si="40"/>
        <v>0.40324961123169673</v>
      </c>
      <c r="G101" s="162">
        <f t="shared" si="40"/>
        <v>0.40550092835862073</v>
      </c>
      <c r="H101" s="162">
        <f t="shared" ref="H101:I101" si="41">(H95-H89)/H95</f>
        <v>0.40759967038782774</v>
      </c>
      <c r="I101" s="162">
        <f t="shared" si="41"/>
        <v>0.40954589167958838</v>
      </c>
      <c r="J101" s="13"/>
      <c r="K101" s="13"/>
      <c r="L101" s="13"/>
      <c r="M101" s="13"/>
      <c r="N101" s="13"/>
      <c r="O101" s="13"/>
    </row>
    <row r="102" spans="1:15" x14ac:dyDescent="0.25">
      <c r="A102" s="90" t="str">
        <f>A90</f>
        <v>Банный комплекс</v>
      </c>
      <c r="B102" s="128" t="s">
        <v>54</v>
      </c>
      <c r="C102" s="162" t="s">
        <v>605</v>
      </c>
      <c r="D102" s="162">
        <f t="shared" si="40"/>
        <v>0.62239666050392661</v>
      </c>
      <c r="E102" s="162">
        <f t="shared" si="40"/>
        <v>0.66813258313799773</v>
      </c>
      <c r="F102" s="162">
        <f t="shared" si="40"/>
        <v>0.67450379498188051</v>
      </c>
      <c r="G102" s="162">
        <f t="shared" si="40"/>
        <v>0.67675511210880446</v>
      </c>
      <c r="H102" s="162">
        <f t="shared" ref="H102:I102" si="42">(H96-H90)/H96</f>
        <v>0.67885385413801147</v>
      </c>
      <c r="I102" s="162">
        <f t="shared" si="42"/>
        <v>0.68080007542977206</v>
      </c>
      <c r="J102" s="13"/>
      <c r="K102" s="13"/>
      <c r="L102" s="13"/>
      <c r="M102" s="13"/>
      <c r="N102" s="13"/>
      <c r="O102" s="13"/>
    </row>
    <row r="103" spans="1:15" x14ac:dyDescent="0.25">
      <c r="A103" s="90" t="str">
        <f>A91</f>
        <v>Прокат спортивного инвентаря</v>
      </c>
      <c r="B103" s="128" t="s">
        <v>54</v>
      </c>
      <c r="C103" s="162" t="s">
        <v>605</v>
      </c>
      <c r="D103" s="162">
        <f t="shared" si="40"/>
        <v>0.72101666050392654</v>
      </c>
      <c r="E103" s="162">
        <f t="shared" si="40"/>
        <v>0.76675258313799788</v>
      </c>
      <c r="F103" s="162">
        <f t="shared" si="40"/>
        <v>0.77312379498188055</v>
      </c>
      <c r="G103" s="162">
        <f t="shared" si="40"/>
        <v>0.7753751121088045</v>
      </c>
      <c r="H103" s="162">
        <f t="shared" ref="H103:I104" si="43">(H97-H91)/H97</f>
        <v>0.77747385413801151</v>
      </c>
      <c r="I103" s="162">
        <f t="shared" si="43"/>
        <v>0.7794200754297721</v>
      </c>
      <c r="J103" s="13"/>
      <c r="K103" s="13"/>
      <c r="L103" s="13"/>
      <c r="M103" s="13"/>
      <c r="N103" s="13"/>
      <c r="O103" s="13"/>
    </row>
    <row r="104" spans="1:15" x14ac:dyDescent="0.25">
      <c r="A104" s="90" t="str">
        <f>A92</f>
        <v>Барбекю-парк</v>
      </c>
      <c r="B104" s="128" t="s">
        <v>54</v>
      </c>
      <c r="C104" s="162" t="s">
        <v>605</v>
      </c>
      <c r="D104" s="162">
        <f t="shared" si="40"/>
        <v>0.65434999383726</v>
      </c>
      <c r="E104" s="162">
        <f t="shared" si="40"/>
        <v>0.70008591647133112</v>
      </c>
      <c r="F104" s="162">
        <f t="shared" si="40"/>
        <v>0.7064571283152139</v>
      </c>
      <c r="G104" s="162">
        <f t="shared" si="40"/>
        <v>0.70870844544213796</v>
      </c>
      <c r="H104" s="162">
        <f t="shared" si="43"/>
        <v>0.71080718747134475</v>
      </c>
      <c r="I104" s="162">
        <f t="shared" si="43"/>
        <v>0.71275340876310544</v>
      </c>
      <c r="J104" s="13"/>
      <c r="K104" s="13"/>
      <c r="L104" s="13"/>
      <c r="M104" s="13"/>
      <c r="N104" s="13"/>
      <c r="O104" s="13"/>
    </row>
    <row r="105" spans="1:15" x14ac:dyDescent="0.25">
      <c r="B105" s="7"/>
      <c r="C105" s="7"/>
      <c r="D105" s="7"/>
      <c r="E105" s="7"/>
      <c r="F105" s="7"/>
      <c r="G105" s="7"/>
      <c r="H105" s="7"/>
      <c r="I105" s="7"/>
      <c r="J105" s="7"/>
      <c r="K105" s="7"/>
    </row>
    <row r="106" spans="1:15" x14ac:dyDescent="0.25">
      <c r="B106" s="7"/>
      <c r="C106" s="7"/>
      <c r="D106" s="7"/>
      <c r="E106" s="7"/>
      <c r="F106" s="7"/>
      <c r="G106" s="7"/>
      <c r="H106" s="7"/>
      <c r="I106" s="7"/>
      <c r="J106" s="7"/>
      <c r="K106" s="7"/>
    </row>
    <row r="107" spans="1:15" x14ac:dyDescent="0.25">
      <c r="B107" s="214"/>
      <c r="C107" s="214"/>
      <c r="D107" s="7"/>
      <c r="E107" s="7"/>
      <c r="F107" s="7"/>
      <c r="G107" s="7"/>
      <c r="H107" s="7"/>
      <c r="I107" s="7"/>
      <c r="J107" s="7"/>
      <c r="K107" s="7"/>
    </row>
    <row r="109" spans="1:15" x14ac:dyDescent="0.25">
      <c r="B109" s="57"/>
    </row>
    <row r="110" spans="1:15" x14ac:dyDescent="0.25">
      <c r="C110" s="57"/>
    </row>
    <row r="113" spans="2:3" x14ac:dyDescent="0.25">
      <c r="B113" s="215"/>
      <c r="C113" s="215"/>
    </row>
    <row r="114" spans="2:3" x14ac:dyDescent="0.25">
      <c r="B114" s="62"/>
      <c r="C114" s="62"/>
    </row>
  </sheetData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BX45"/>
  <sheetViews>
    <sheetView showGridLines="0" workbookViewId="0"/>
  </sheetViews>
  <sheetFormatPr defaultColWidth="8.77734375" defaultRowHeight="13.2" x14ac:dyDescent="0.25"/>
  <cols>
    <col min="1" max="1" width="37.6640625" customWidth="1"/>
    <col min="2" max="76" width="11" customWidth="1"/>
  </cols>
  <sheetData>
    <row r="1" spans="1:76" s="376" customFormat="1" ht="28.5" customHeight="1" x14ac:dyDescent="0.3">
      <c r="A1" s="392" t="s">
        <v>163</v>
      </c>
      <c r="B1" s="375"/>
    </row>
    <row r="2" spans="1:76" s="376" customFormat="1" ht="19.5" customHeight="1" x14ac:dyDescent="0.25">
      <c r="A2" s="380" t="str">
        <f>'План продаж'!A2</f>
        <v>Парк мобильных домов</v>
      </c>
      <c r="B2" s="377"/>
    </row>
    <row r="3" spans="1:76" s="376" customFormat="1" ht="15" customHeight="1" x14ac:dyDescent="0.25">
      <c r="A3" s="378"/>
      <c r="B3" s="379"/>
    </row>
    <row r="4" spans="1:76" s="12" customFormat="1" ht="21.75" customHeight="1" x14ac:dyDescent="0.25">
      <c r="A4" s="14"/>
      <c r="B4"/>
    </row>
    <row r="5" spans="1:76" s="13" customFormat="1" x14ac:dyDescent="0.25">
      <c r="A5" s="16" t="s">
        <v>79</v>
      </c>
      <c r="B5" s="16"/>
      <c r="C5" s="16"/>
      <c r="D5" s="16"/>
      <c r="E5" s="3"/>
      <c r="F5" s="3"/>
      <c r="N5" s="29"/>
      <c r="X5" s="29"/>
    </row>
    <row r="6" spans="1:76" x14ac:dyDescent="0.25">
      <c r="A6" s="4"/>
      <c r="B6" s="4"/>
      <c r="C6" s="4"/>
      <c r="D6" s="4"/>
    </row>
    <row r="7" spans="1:76" x14ac:dyDescent="0.25">
      <c r="A7" s="4" t="s">
        <v>151</v>
      </c>
      <c r="B7" s="4"/>
      <c r="C7" s="4"/>
      <c r="D7" s="4"/>
    </row>
    <row r="8" spans="1:76" x14ac:dyDescent="0.25">
      <c r="A8" s="169"/>
      <c r="B8" s="368">
        <f>'План продаж'!C8</f>
        <v>2020</v>
      </c>
      <c r="C8" s="368">
        <f>'План продаж'!D8</f>
        <v>2020</v>
      </c>
      <c r="D8" s="368">
        <f>'План продаж'!E8</f>
        <v>2020</v>
      </c>
      <c r="E8" s="368">
        <f>'План продаж'!F8</f>
        <v>2021</v>
      </c>
      <c r="F8" s="368">
        <f>'План продаж'!G8</f>
        <v>2021</v>
      </c>
      <c r="G8" s="368">
        <f>'План продаж'!H8</f>
        <v>2021</v>
      </c>
      <c r="H8" s="368">
        <f>'План продаж'!I8</f>
        <v>2021</v>
      </c>
      <c r="I8" s="368">
        <f>'План продаж'!J8</f>
        <v>2021</v>
      </c>
      <c r="J8" s="368">
        <f>'План продаж'!K8</f>
        <v>2021</v>
      </c>
      <c r="K8" s="368">
        <f>'План продаж'!L8</f>
        <v>2021</v>
      </c>
      <c r="L8" s="368">
        <f>'План продаж'!M8</f>
        <v>2021</v>
      </c>
      <c r="M8" s="368">
        <f>'План продаж'!N8</f>
        <v>2021</v>
      </c>
      <c r="N8" s="368">
        <f>'План продаж'!O8</f>
        <v>2021</v>
      </c>
      <c r="O8" s="368">
        <f>'План продаж'!P8</f>
        <v>2021</v>
      </c>
      <c r="P8" s="368">
        <f>'План продаж'!Q8</f>
        <v>2021</v>
      </c>
      <c r="Q8" s="368">
        <f>'План продаж'!R8</f>
        <v>2022</v>
      </c>
      <c r="R8" s="368">
        <f>'План продаж'!S8</f>
        <v>2022</v>
      </c>
      <c r="S8" s="368">
        <f>'План продаж'!T8</f>
        <v>2022</v>
      </c>
      <c r="T8" s="368">
        <f>'План продаж'!U8</f>
        <v>2022</v>
      </c>
      <c r="U8" s="368">
        <f>'План продаж'!V8</f>
        <v>2022</v>
      </c>
      <c r="V8" s="368">
        <f>'План продаж'!W8</f>
        <v>2022</v>
      </c>
      <c r="W8" s="368">
        <f>'План продаж'!X8</f>
        <v>2022</v>
      </c>
      <c r="X8" s="368">
        <f>'План продаж'!Y8</f>
        <v>2022</v>
      </c>
      <c r="Y8" s="368">
        <f>'План продаж'!Z8</f>
        <v>2022</v>
      </c>
      <c r="Z8" s="368">
        <f>'План продаж'!AA8</f>
        <v>2022</v>
      </c>
      <c r="AA8" s="368">
        <f>'План продаж'!AB8</f>
        <v>2022</v>
      </c>
      <c r="AB8" s="368">
        <f>'План продаж'!AC8</f>
        <v>2022</v>
      </c>
      <c r="AC8" s="368">
        <f>'План продаж'!AD8</f>
        <v>2023</v>
      </c>
      <c r="AD8" s="368">
        <f>'План продаж'!AE8</f>
        <v>2023</v>
      </c>
      <c r="AE8" s="368">
        <f>'План продаж'!AF8</f>
        <v>2023</v>
      </c>
      <c r="AF8" s="368">
        <f>'План продаж'!AG8</f>
        <v>2023</v>
      </c>
      <c r="AG8" s="368">
        <f>'План продаж'!AH8</f>
        <v>2023</v>
      </c>
      <c r="AH8" s="368">
        <f>'План продаж'!AI8</f>
        <v>2023</v>
      </c>
      <c r="AI8" s="368">
        <f>'План продаж'!AJ8</f>
        <v>2023</v>
      </c>
      <c r="AJ8" s="368">
        <f>'План продаж'!AK8</f>
        <v>2023</v>
      </c>
      <c r="AK8" s="368">
        <f>'План продаж'!AL8</f>
        <v>2023</v>
      </c>
      <c r="AL8" s="368">
        <f>'План продаж'!AM8</f>
        <v>2023</v>
      </c>
      <c r="AM8" s="368">
        <f>'План продаж'!AN8</f>
        <v>2023</v>
      </c>
      <c r="AN8" s="368">
        <f>'План продаж'!AO8</f>
        <v>2023</v>
      </c>
      <c r="AO8" s="368">
        <f>'План продаж'!AP8</f>
        <v>2024</v>
      </c>
      <c r="AP8" s="368">
        <f>'План продаж'!AQ8</f>
        <v>2024</v>
      </c>
      <c r="AQ8" s="368">
        <f>'План продаж'!AR8</f>
        <v>2024</v>
      </c>
      <c r="AR8" s="368">
        <f>'План продаж'!AS8</f>
        <v>2024</v>
      </c>
      <c r="AS8" s="368">
        <f>'План продаж'!AT8</f>
        <v>2024</v>
      </c>
      <c r="AT8" s="368">
        <f>'План продаж'!AU8</f>
        <v>2024</v>
      </c>
      <c r="AU8" s="368">
        <f>'План продаж'!AV8</f>
        <v>2024</v>
      </c>
      <c r="AV8" s="368">
        <f>'План продаж'!AW8</f>
        <v>2024</v>
      </c>
      <c r="AW8" s="368">
        <f>'План продаж'!AX8</f>
        <v>2024</v>
      </c>
      <c r="AX8" s="368">
        <f>'План продаж'!AY8</f>
        <v>2024</v>
      </c>
      <c r="AY8" s="368">
        <f>'План продаж'!AZ8</f>
        <v>2024</v>
      </c>
      <c r="AZ8" s="368">
        <f>'План продаж'!BA8</f>
        <v>2024</v>
      </c>
      <c r="BA8" s="368">
        <f>'План продаж'!BB8</f>
        <v>2025</v>
      </c>
      <c r="BB8" s="368">
        <f>'План продаж'!BC8</f>
        <v>2025</v>
      </c>
      <c r="BC8" s="368">
        <f>'План продаж'!BD8</f>
        <v>2025</v>
      </c>
      <c r="BD8" s="368">
        <f>'План продаж'!BE8</f>
        <v>2025</v>
      </c>
      <c r="BE8" s="368">
        <f>'План продаж'!BF8</f>
        <v>2025</v>
      </c>
      <c r="BF8" s="368">
        <f>'План продаж'!BG8</f>
        <v>2025</v>
      </c>
      <c r="BG8" s="368">
        <f>'План продаж'!BH8</f>
        <v>2025</v>
      </c>
      <c r="BH8" s="368">
        <f>'План продаж'!BI8</f>
        <v>2025</v>
      </c>
      <c r="BI8" s="368">
        <f>'План продаж'!BJ8</f>
        <v>2025</v>
      </c>
      <c r="BJ8" s="368">
        <f>'План продаж'!BK8</f>
        <v>2025</v>
      </c>
      <c r="BK8" s="368">
        <f>'План продаж'!BL8</f>
        <v>2025</v>
      </c>
      <c r="BL8" s="368">
        <f>'План продаж'!BM8</f>
        <v>2025</v>
      </c>
      <c r="BM8" s="368">
        <f>'План продаж'!BN8</f>
        <v>2026</v>
      </c>
      <c r="BN8" s="368">
        <f>'План продаж'!BO8</f>
        <v>2026</v>
      </c>
      <c r="BO8" s="368">
        <f>'План продаж'!BP8</f>
        <v>2026</v>
      </c>
      <c r="BP8" s="368">
        <f>'План продаж'!BQ8</f>
        <v>2026</v>
      </c>
      <c r="BQ8" s="368">
        <f>'План продаж'!BR8</f>
        <v>2026</v>
      </c>
      <c r="BR8" s="368">
        <f>'План продаж'!BS8</f>
        <v>2026</v>
      </c>
      <c r="BS8" s="368">
        <f>'План продаж'!BT8</f>
        <v>2026</v>
      </c>
      <c r="BT8" s="368">
        <f>'План продаж'!BU8</f>
        <v>2026</v>
      </c>
      <c r="BU8" s="368">
        <f>'План продаж'!BV8</f>
        <v>2026</v>
      </c>
      <c r="BV8" s="368">
        <f>'План продаж'!BW8</f>
        <v>2026</v>
      </c>
      <c r="BW8" s="368">
        <f>'План продаж'!BX8</f>
        <v>2026</v>
      </c>
      <c r="BX8" s="368">
        <f>'План продаж'!BY8</f>
        <v>2026</v>
      </c>
    </row>
    <row r="9" spans="1:76" x14ac:dyDescent="0.25">
      <c r="A9" s="169"/>
      <c r="B9" s="367">
        <f>'План продаж'!C9</f>
        <v>44106</v>
      </c>
      <c r="C9" s="367">
        <f>'План продаж'!D9</f>
        <v>44137</v>
      </c>
      <c r="D9" s="367">
        <f>'План продаж'!E9</f>
        <v>44167</v>
      </c>
      <c r="E9" s="367">
        <f>'План продаж'!F9</f>
        <v>44198</v>
      </c>
      <c r="F9" s="367">
        <f>'План продаж'!G9</f>
        <v>44229</v>
      </c>
      <c r="G9" s="367">
        <f>'План продаж'!H9</f>
        <v>44257</v>
      </c>
      <c r="H9" s="367">
        <f>'План продаж'!I9</f>
        <v>44288</v>
      </c>
      <c r="I9" s="367">
        <f>'План продаж'!J9</f>
        <v>44318</v>
      </c>
      <c r="J9" s="367">
        <f>'План продаж'!K9</f>
        <v>44349</v>
      </c>
      <c r="K9" s="367">
        <f>'План продаж'!L9</f>
        <v>44379</v>
      </c>
      <c r="L9" s="367">
        <f>'План продаж'!M9</f>
        <v>44410</v>
      </c>
      <c r="M9" s="367">
        <f>'План продаж'!N9</f>
        <v>44441</v>
      </c>
      <c r="N9" s="367">
        <f>'План продаж'!O9</f>
        <v>44471</v>
      </c>
      <c r="O9" s="367">
        <f>'План продаж'!P9</f>
        <v>44502</v>
      </c>
      <c r="P9" s="367">
        <f>'План продаж'!Q9</f>
        <v>44532</v>
      </c>
      <c r="Q9" s="367">
        <f>'План продаж'!R9</f>
        <v>44563</v>
      </c>
      <c r="R9" s="367">
        <f>'План продаж'!S9</f>
        <v>44594</v>
      </c>
      <c r="S9" s="367">
        <f>'План продаж'!T9</f>
        <v>44622</v>
      </c>
      <c r="T9" s="367">
        <f>'План продаж'!U9</f>
        <v>44653</v>
      </c>
      <c r="U9" s="367">
        <f>'План продаж'!V9</f>
        <v>44683</v>
      </c>
      <c r="V9" s="367">
        <f>'План продаж'!W9</f>
        <v>44714</v>
      </c>
      <c r="W9" s="367">
        <f>'План продаж'!X9</f>
        <v>44744</v>
      </c>
      <c r="X9" s="367">
        <f>'План продаж'!Y9</f>
        <v>44775</v>
      </c>
      <c r="Y9" s="367">
        <f>'План продаж'!Z9</f>
        <v>44806</v>
      </c>
      <c r="Z9" s="367">
        <f>'План продаж'!AA9</f>
        <v>44836</v>
      </c>
      <c r="AA9" s="367">
        <f>'План продаж'!AB9</f>
        <v>44867</v>
      </c>
      <c r="AB9" s="367">
        <f>'План продаж'!AC9</f>
        <v>44897</v>
      </c>
      <c r="AC9" s="367">
        <f>'План продаж'!AD9</f>
        <v>44928</v>
      </c>
      <c r="AD9" s="367">
        <f>'План продаж'!AE9</f>
        <v>44959</v>
      </c>
      <c r="AE9" s="367">
        <f>'План продаж'!AF9</f>
        <v>44987</v>
      </c>
      <c r="AF9" s="367">
        <f>'План продаж'!AG9</f>
        <v>45018</v>
      </c>
      <c r="AG9" s="367">
        <f>'План продаж'!AH9</f>
        <v>45048</v>
      </c>
      <c r="AH9" s="367">
        <f>'План продаж'!AI9</f>
        <v>45079</v>
      </c>
      <c r="AI9" s="367">
        <f>'План продаж'!AJ9</f>
        <v>45109</v>
      </c>
      <c r="AJ9" s="367">
        <f>'План продаж'!AK9</f>
        <v>45140</v>
      </c>
      <c r="AK9" s="367">
        <f>'План продаж'!AL9</f>
        <v>45171</v>
      </c>
      <c r="AL9" s="367">
        <f>'План продаж'!AM9</f>
        <v>45201</v>
      </c>
      <c r="AM9" s="367">
        <f>'План продаж'!AN9</f>
        <v>45232</v>
      </c>
      <c r="AN9" s="367">
        <f>'План продаж'!AO9</f>
        <v>45262</v>
      </c>
      <c r="AO9" s="367">
        <f>'План продаж'!AP9</f>
        <v>45293</v>
      </c>
      <c r="AP9" s="367">
        <f>'План продаж'!AQ9</f>
        <v>45324</v>
      </c>
      <c r="AQ9" s="367">
        <f>'План продаж'!AR9</f>
        <v>45353</v>
      </c>
      <c r="AR9" s="367">
        <f>'План продаж'!AS9</f>
        <v>45384</v>
      </c>
      <c r="AS9" s="367">
        <f>'План продаж'!AT9</f>
        <v>45414</v>
      </c>
      <c r="AT9" s="367">
        <f>'План продаж'!AU9</f>
        <v>45445</v>
      </c>
      <c r="AU9" s="367">
        <f>'План продаж'!AV9</f>
        <v>45475</v>
      </c>
      <c r="AV9" s="367">
        <f>'План продаж'!AW9</f>
        <v>45506</v>
      </c>
      <c r="AW9" s="367">
        <f>'План продаж'!AX9</f>
        <v>45537</v>
      </c>
      <c r="AX9" s="367">
        <f>'План продаж'!AY9</f>
        <v>45567</v>
      </c>
      <c r="AY9" s="367">
        <f>'План продаж'!AZ9</f>
        <v>45598</v>
      </c>
      <c r="AZ9" s="367">
        <f>'План продаж'!BA9</f>
        <v>45628</v>
      </c>
      <c r="BA9" s="367">
        <f>'План продаж'!BB9</f>
        <v>45659</v>
      </c>
      <c r="BB9" s="367">
        <f>'План продаж'!BC9</f>
        <v>45690</v>
      </c>
      <c r="BC9" s="367">
        <f>'План продаж'!BD9</f>
        <v>45718</v>
      </c>
      <c r="BD9" s="367">
        <f>'План продаж'!BE9</f>
        <v>45749</v>
      </c>
      <c r="BE9" s="367">
        <f>'План продаж'!BF9</f>
        <v>45779</v>
      </c>
      <c r="BF9" s="367">
        <f>'План продаж'!BG9</f>
        <v>45810</v>
      </c>
      <c r="BG9" s="367">
        <f>'План продаж'!BH9</f>
        <v>45840</v>
      </c>
      <c r="BH9" s="367">
        <f>'План продаж'!BI9</f>
        <v>45871</v>
      </c>
      <c r="BI9" s="367">
        <f>'План продаж'!BJ9</f>
        <v>45902</v>
      </c>
      <c r="BJ9" s="367">
        <f>'План продаж'!BK9</f>
        <v>45932</v>
      </c>
      <c r="BK9" s="367">
        <f>'План продаж'!BL9</f>
        <v>45963</v>
      </c>
      <c r="BL9" s="367">
        <f>'План продаж'!BM9</f>
        <v>45993</v>
      </c>
      <c r="BM9" s="367">
        <f>'План продаж'!BN9</f>
        <v>46024</v>
      </c>
      <c r="BN9" s="367">
        <f>'План продаж'!BO9</f>
        <v>46055</v>
      </c>
      <c r="BO9" s="367">
        <f>'План продаж'!BP9</f>
        <v>46083</v>
      </c>
      <c r="BP9" s="367">
        <f>'План продаж'!BQ9</f>
        <v>46114</v>
      </c>
      <c r="BQ9" s="367">
        <f>'План продаж'!BR9</f>
        <v>46144</v>
      </c>
      <c r="BR9" s="367">
        <f>'План продаж'!BS9</f>
        <v>46175</v>
      </c>
      <c r="BS9" s="367">
        <f>'План продаж'!BT9</f>
        <v>46205</v>
      </c>
      <c r="BT9" s="367">
        <f>'План продаж'!BU9</f>
        <v>46236</v>
      </c>
      <c r="BU9" s="367">
        <f>'План продаж'!BV9</f>
        <v>46267</v>
      </c>
      <c r="BV9" s="367">
        <f>'План продаж'!BW9</f>
        <v>46297</v>
      </c>
      <c r="BW9" s="367">
        <f>'План продаж'!BX9</f>
        <v>46328</v>
      </c>
      <c r="BX9" s="367">
        <f>'План продаж'!BY9</f>
        <v>46358</v>
      </c>
    </row>
    <row r="10" spans="1:76" s="30" customFormat="1" ht="13.5" customHeight="1" x14ac:dyDescent="0.25">
      <c r="A10" s="170" t="s">
        <v>44</v>
      </c>
      <c r="B10" s="156">
        <f>SUM(B11:B13)</f>
        <v>28.200000000000003</v>
      </c>
      <c r="C10" s="156">
        <f t="shared" ref="C10:BI10" si="0">SUM(C11:C13)</f>
        <v>28.200000000000003</v>
      </c>
      <c r="D10" s="156">
        <f t="shared" si="0"/>
        <v>28.200000000000003</v>
      </c>
      <c r="E10" s="156">
        <f t="shared" si="0"/>
        <v>29.328000000000003</v>
      </c>
      <c r="F10" s="156">
        <f t="shared" si="0"/>
        <v>29.328000000000003</v>
      </c>
      <c r="G10" s="156">
        <f t="shared" si="0"/>
        <v>29.328000000000003</v>
      </c>
      <c r="H10" s="156">
        <f t="shared" si="0"/>
        <v>29.328000000000003</v>
      </c>
      <c r="I10" s="156">
        <f t="shared" si="0"/>
        <v>29.328000000000003</v>
      </c>
      <c r="J10" s="156">
        <f t="shared" si="0"/>
        <v>90.916799999999995</v>
      </c>
      <c r="K10" s="156">
        <f t="shared" si="0"/>
        <v>386.56795007999995</v>
      </c>
      <c r="L10" s="156">
        <f t="shared" si="0"/>
        <v>435.70126329600009</v>
      </c>
      <c r="M10" s="156">
        <f t="shared" si="0"/>
        <v>395.03468160000006</v>
      </c>
      <c r="N10" s="156">
        <f t="shared" si="0"/>
        <v>384.44148849600003</v>
      </c>
      <c r="O10" s="156">
        <f t="shared" si="0"/>
        <v>350.34502464000002</v>
      </c>
      <c r="P10" s="156">
        <f t="shared" si="0"/>
        <v>598.24320816000022</v>
      </c>
      <c r="Q10" s="156">
        <f t="shared" si="0"/>
        <v>404.2183589683201</v>
      </c>
      <c r="R10" s="156">
        <f t="shared" si="0"/>
        <v>375.72863597568005</v>
      </c>
      <c r="S10" s="156">
        <f t="shared" si="0"/>
        <v>419.85999783936006</v>
      </c>
      <c r="T10" s="156">
        <f t="shared" si="0"/>
        <v>394.81367477760006</v>
      </c>
      <c r="U10" s="156">
        <f t="shared" si="0"/>
        <v>582.46470297600024</v>
      </c>
      <c r="V10" s="156">
        <f t="shared" si="0"/>
        <v>655.65960345600001</v>
      </c>
      <c r="W10" s="156">
        <f t="shared" si="0"/>
        <v>763.98805616640016</v>
      </c>
      <c r="X10" s="156">
        <f t="shared" si="0"/>
        <v>718.60721786880003</v>
      </c>
      <c r="Y10" s="156">
        <f t="shared" si="0"/>
        <v>567.82572287999994</v>
      </c>
      <c r="Z10" s="156">
        <f t="shared" si="0"/>
        <v>500.14524318719998</v>
      </c>
      <c r="AA10" s="156">
        <f t="shared" si="0"/>
        <v>400.90464460800001</v>
      </c>
      <c r="AB10" s="156">
        <f t="shared" si="0"/>
        <v>786.6784753152001</v>
      </c>
      <c r="AC10" s="156">
        <f t="shared" si="0"/>
        <v>459.14866131763199</v>
      </c>
      <c r="AD10" s="156">
        <f t="shared" si="0"/>
        <v>408.49468556083201</v>
      </c>
      <c r="AE10" s="156">
        <f t="shared" si="0"/>
        <v>459.14866131763199</v>
      </c>
      <c r="AF10" s="156">
        <f t="shared" si="0"/>
        <v>416.94083039232004</v>
      </c>
      <c r="AG10" s="156">
        <f t="shared" si="0"/>
        <v>605.76329109504013</v>
      </c>
      <c r="AH10" s="156">
        <f t="shared" si="0"/>
        <v>681.88598759424019</v>
      </c>
      <c r="AI10" s="156">
        <f t="shared" si="0"/>
        <v>794.54757841305604</v>
      </c>
      <c r="AJ10" s="156">
        <f t="shared" si="0"/>
        <v>747.35150658355201</v>
      </c>
      <c r="AK10" s="156">
        <f t="shared" si="0"/>
        <v>590.53875179520003</v>
      </c>
      <c r="AL10" s="156">
        <f t="shared" si="0"/>
        <v>520.15105291468797</v>
      </c>
      <c r="AM10" s="156">
        <f t="shared" si="0"/>
        <v>416.94083039232004</v>
      </c>
      <c r="AN10" s="156">
        <f t="shared" si="0"/>
        <v>818.14561432780806</v>
      </c>
      <c r="AO10" s="156">
        <f t="shared" si="0"/>
        <v>477.51460777033742</v>
      </c>
      <c r="AP10" s="156">
        <f t="shared" si="0"/>
        <v>424.83447298326541</v>
      </c>
      <c r="AQ10" s="156">
        <f t="shared" si="0"/>
        <v>477.51460777033742</v>
      </c>
      <c r="AR10" s="156">
        <f t="shared" si="0"/>
        <v>433.61846360801286</v>
      </c>
      <c r="AS10" s="156">
        <f t="shared" si="0"/>
        <v>629.9938227388418</v>
      </c>
      <c r="AT10" s="156">
        <f t="shared" si="0"/>
        <v>709.16142709800977</v>
      </c>
      <c r="AU10" s="156">
        <f t="shared" si="0"/>
        <v>826.32948154957842</v>
      </c>
      <c r="AV10" s="156">
        <f t="shared" si="0"/>
        <v>777.24556684689435</v>
      </c>
      <c r="AW10" s="156">
        <f t="shared" si="0"/>
        <v>614.160301867008</v>
      </c>
      <c r="AX10" s="156">
        <f t="shared" si="0"/>
        <v>540.95709503127568</v>
      </c>
      <c r="AY10" s="156">
        <f t="shared" si="0"/>
        <v>433.61846360801286</v>
      </c>
      <c r="AZ10" s="156">
        <f t="shared" si="0"/>
        <v>850.87143890092045</v>
      </c>
      <c r="BA10" s="156">
        <f t="shared" si="0"/>
        <v>496.61519208115089</v>
      </c>
      <c r="BB10" s="156">
        <f t="shared" si="0"/>
        <v>441.82785190259602</v>
      </c>
      <c r="BC10" s="156">
        <f t="shared" si="0"/>
        <v>496.61519208115089</v>
      </c>
      <c r="BD10" s="156">
        <f t="shared" si="0"/>
        <v>450.96320215233345</v>
      </c>
      <c r="BE10" s="156">
        <f t="shared" si="0"/>
        <v>655.19357564839538</v>
      </c>
      <c r="BF10" s="156">
        <f t="shared" si="0"/>
        <v>737.52788418193006</v>
      </c>
      <c r="BG10" s="156">
        <f t="shared" si="0"/>
        <v>859.38266081156144</v>
      </c>
      <c r="BH10" s="156">
        <f t="shared" si="0"/>
        <v>808.33538952077015</v>
      </c>
      <c r="BI10" s="156">
        <f t="shared" si="0"/>
        <v>638.72671394168856</v>
      </c>
      <c r="BJ10" s="156">
        <f t="shared" ref="BJ10:BX10" si="1">SUM(BJ11:BJ13)</f>
        <v>562.59537883252654</v>
      </c>
      <c r="BK10" s="156">
        <f t="shared" si="1"/>
        <v>450.96320215233345</v>
      </c>
      <c r="BL10" s="156">
        <f t="shared" si="1"/>
        <v>884.90629645695731</v>
      </c>
      <c r="BM10" s="156">
        <f t="shared" si="1"/>
        <v>516.47979976439694</v>
      </c>
      <c r="BN10" s="156">
        <f t="shared" si="1"/>
        <v>459.50096597869981</v>
      </c>
      <c r="BO10" s="156">
        <f t="shared" si="1"/>
        <v>516.47979976439694</v>
      </c>
      <c r="BP10" s="156">
        <f t="shared" si="1"/>
        <v>469.00173023842672</v>
      </c>
      <c r="BQ10" s="156">
        <f t="shared" si="1"/>
        <v>681.40131867433104</v>
      </c>
      <c r="BR10" s="156">
        <f t="shared" si="1"/>
        <v>767.02899954920736</v>
      </c>
      <c r="BS10" s="156">
        <f t="shared" si="1"/>
        <v>893.75796724402403</v>
      </c>
      <c r="BT10" s="156">
        <f t="shared" si="1"/>
        <v>840.66880510160092</v>
      </c>
      <c r="BU10" s="156">
        <f t="shared" si="1"/>
        <v>664.27578249935607</v>
      </c>
      <c r="BV10" s="156">
        <f t="shared" si="1"/>
        <v>585.09919398582758</v>
      </c>
      <c r="BW10" s="156">
        <f t="shared" si="1"/>
        <v>469.00173023842672</v>
      </c>
      <c r="BX10" s="156">
        <f t="shared" si="1"/>
        <v>920.30254831523553</v>
      </c>
    </row>
    <row r="11" spans="1:76" s="30" customFormat="1" ht="13.5" customHeight="1" x14ac:dyDescent="0.25">
      <c r="A11" s="171" t="s">
        <v>77</v>
      </c>
      <c r="B11" s="172">
        <f>ФОТ!B77*'Книга допущений'!$B$25</f>
        <v>13</v>
      </c>
      <c r="C11" s="172">
        <f>ФОТ!C77*'Книга допущений'!$B$25</f>
        <v>13</v>
      </c>
      <c r="D11" s="172">
        <f>ФОТ!D77*'Книга допущений'!$B$25</f>
        <v>13</v>
      </c>
      <c r="E11" s="172">
        <f>ФОТ!E77*'Книга допущений'!$B$25</f>
        <v>13.52</v>
      </c>
      <c r="F11" s="172">
        <f>ФОТ!F77*'Книга допущений'!$B$25</f>
        <v>13.52</v>
      </c>
      <c r="G11" s="172">
        <f>ФОТ!G77*'Книга допущений'!$B$25</f>
        <v>13.52</v>
      </c>
      <c r="H11" s="172">
        <f>ФОТ!H77*'Книга допущений'!$B$25</f>
        <v>13.52</v>
      </c>
      <c r="I11" s="172">
        <f>ФОТ!I77*'Книга допущений'!$B$25</f>
        <v>13.52</v>
      </c>
      <c r="J11" s="172">
        <f>ФОТ!J77*'Книга допущений'!$B$25</f>
        <v>41.911999999999999</v>
      </c>
      <c r="K11" s="172">
        <f>ФОТ!K77*'Книга допущений'!$B$25</f>
        <v>81.12</v>
      </c>
      <c r="L11" s="172">
        <f>ФОТ!L77*'Книга допущений'!$B$25</f>
        <v>123.70800000000001</v>
      </c>
      <c r="M11" s="172">
        <f>ФОТ!M77*'Книга допущений'!$B$25</f>
        <v>123.70800000000001</v>
      </c>
      <c r="N11" s="172">
        <f>ФОТ!N77*'Книга допущений'!$B$25</f>
        <v>123.70800000000001</v>
      </c>
      <c r="O11" s="172">
        <f>ФОТ!O77*'Книга допущений'!$B$25</f>
        <v>123.70800000000001</v>
      </c>
      <c r="P11" s="172">
        <f>ФОТ!P77*'Книга допущений'!$B$25</f>
        <v>123.70800000000001</v>
      </c>
      <c r="Q11" s="172">
        <f>ФОТ!Q77*'Книга допущений'!$B$25</f>
        <v>128.65631999999999</v>
      </c>
      <c r="R11" s="172">
        <f>ФОТ!R77*'Книга допущений'!$B$25</f>
        <v>128.65631999999999</v>
      </c>
      <c r="S11" s="172">
        <f>ФОТ!S77*'Книга допущений'!$B$25</f>
        <v>128.65631999999999</v>
      </c>
      <c r="T11" s="172">
        <f>ФОТ!T77*'Книга допущений'!$B$25</f>
        <v>128.65631999999999</v>
      </c>
      <c r="U11" s="172">
        <f>ФОТ!U77*'Книга допущений'!$B$25</f>
        <v>128.65631999999999</v>
      </c>
      <c r="V11" s="172">
        <f>ФОТ!V77*'Книга допущений'!$B$25</f>
        <v>128.65631999999999</v>
      </c>
      <c r="W11" s="172">
        <f>ФОТ!W77*'Книга допущений'!$B$25</f>
        <v>128.65631999999999</v>
      </c>
      <c r="X11" s="172">
        <f>ФОТ!X77*'Книга допущений'!$B$25</f>
        <v>128.65631999999999</v>
      </c>
      <c r="Y11" s="172">
        <f>ФОТ!Y77*'Книга допущений'!$B$25</f>
        <v>128.65631999999999</v>
      </c>
      <c r="Z11" s="172">
        <f>ФОТ!Z77*'Книга допущений'!$B$25</f>
        <v>128.65631999999999</v>
      </c>
      <c r="AA11" s="172">
        <f>ФОТ!AA77*'Книга допущений'!$B$25</f>
        <v>128.65631999999999</v>
      </c>
      <c r="AB11" s="172">
        <f>ФОТ!AB77*'Книга допущений'!$B$25</f>
        <v>128.65631999999999</v>
      </c>
      <c r="AC11" s="172">
        <f>ФОТ!AC77*'Книга допущений'!$B$25</f>
        <v>133.80257280000001</v>
      </c>
      <c r="AD11" s="172">
        <f>ФОТ!AD77*'Книга допущений'!$B$25</f>
        <v>133.80257280000001</v>
      </c>
      <c r="AE11" s="172">
        <f>ФОТ!AE77*'Книга допущений'!$B$25</f>
        <v>133.80257280000001</v>
      </c>
      <c r="AF11" s="172">
        <f>ФОТ!AF77*'Книга допущений'!$B$25</f>
        <v>133.80257280000001</v>
      </c>
      <c r="AG11" s="172">
        <f>ФОТ!AG77*'Книга допущений'!$B$25</f>
        <v>133.80257280000001</v>
      </c>
      <c r="AH11" s="172">
        <f>ФОТ!AH77*'Книга допущений'!$B$25</f>
        <v>133.80257280000001</v>
      </c>
      <c r="AI11" s="172">
        <f>ФОТ!AI77*'Книга допущений'!$B$25</f>
        <v>133.80257280000001</v>
      </c>
      <c r="AJ11" s="172">
        <f>ФОТ!AJ77*'Книга допущений'!$B$25</f>
        <v>133.80257280000001</v>
      </c>
      <c r="AK11" s="172">
        <f>ФОТ!AK77*'Книга допущений'!$B$25</f>
        <v>133.80257280000001</v>
      </c>
      <c r="AL11" s="172">
        <f>ФОТ!AL77*'Книга допущений'!$B$25</f>
        <v>133.80257280000001</v>
      </c>
      <c r="AM11" s="172">
        <f>ФОТ!AM77*'Книга допущений'!$B$25</f>
        <v>133.80257280000001</v>
      </c>
      <c r="AN11" s="172">
        <f>ФОТ!AN77*'Книга допущений'!$B$25</f>
        <v>133.80257280000001</v>
      </c>
      <c r="AO11" s="172">
        <f>ФОТ!AO77*'Книга допущений'!$B$25</f>
        <v>139.15467571200003</v>
      </c>
      <c r="AP11" s="172">
        <f>ФОТ!AP77*'Книга допущений'!$B$25</f>
        <v>139.15467571200003</v>
      </c>
      <c r="AQ11" s="172">
        <f>ФОТ!AQ77*'Книга допущений'!$B$25</f>
        <v>139.15467571200003</v>
      </c>
      <c r="AR11" s="172">
        <f>ФОТ!AR77*'Книга допущений'!$B$25</f>
        <v>139.15467571200003</v>
      </c>
      <c r="AS11" s="172">
        <f>ФОТ!AS77*'Книга допущений'!$B$25</f>
        <v>139.15467571200003</v>
      </c>
      <c r="AT11" s="172">
        <f>ФОТ!AT77*'Книга допущений'!$B$25</f>
        <v>139.15467571200003</v>
      </c>
      <c r="AU11" s="172">
        <f>ФОТ!AU77*'Книга допущений'!$B$25</f>
        <v>139.15467571200003</v>
      </c>
      <c r="AV11" s="172">
        <f>ФОТ!AV77*'Книга допущений'!$B$25</f>
        <v>139.15467571200003</v>
      </c>
      <c r="AW11" s="172">
        <f>ФОТ!AW77*'Книга допущений'!$B$25</f>
        <v>139.15467571200003</v>
      </c>
      <c r="AX11" s="172">
        <f>ФОТ!AX77*'Книга допущений'!$B$25</f>
        <v>139.15467571200003</v>
      </c>
      <c r="AY11" s="172">
        <f>ФОТ!AY77*'Книга допущений'!$B$25</f>
        <v>139.15467571200003</v>
      </c>
      <c r="AZ11" s="172">
        <f>ФОТ!AZ77*'Книга допущений'!$B$25</f>
        <v>139.15467571200003</v>
      </c>
      <c r="BA11" s="172">
        <f>ФОТ!BA77*'Книга допущений'!$B$25</f>
        <v>144.72086274048004</v>
      </c>
      <c r="BB11" s="172">
        <f>ФОТ!BB77*'Книга допущений'!$B$25</f>
        <v>144.72086274048004</v>
      </c>
      <c r="BC11" s="172">
        <f>ФОТ!BC77*'Книга допущений'!$B$25</f>
        <v>144.72086274048004</v>
      </c>
      <c r="BD11" s="172">
        <f>ФОТ!BD77*'Книга допущений'!$B$25</f>
        <v>144.72086274048004</v>
      </c>
      <c r="BE11" s="172">
        <f>ФОТ!BE77*'Книга допущений'!$B$25</f>
        <v>144.72086274048004</v>
      </c>
      <c r="BF11" s="172">
        <f>ФОТ!BF77*'Книга допущений'!$B$25</f>
        <v>144.72086274048004</v>
      </c>
      <c r="BG11" s="172">
        <f>ФОТ!BG77*'Книга допущений'!$B$25</f>
        <v>144.72086274048004</v>
      </c>
      <c r="BH11" s="172">
        <f>ФОТ!BH77*'Книга допущений'!$B$25</f>
        <v>144.72086274048004</v>
      </c>
      <c r="BI11" s="172">
        <f>ФОТ!BI77*'Книга допущений'!$B$25</f>
        <v>144.72086274048004</v>
      </c>
      <c r="BJ11" s="172">
        <f>ФОТ!BJ77*'Книга допущений'!$B$25</f>
        <v>144.72086274048004</v>
      </c>
      <c r="BK11" s="172">
        <f>ФОТ!BK77*'Книга допущений'!$B$25</f>
        <v>144.72086274048004</v>
      </c>
      <c r="BL11" s="172">
        <f>ФОТ!BL77*'Книга допущений'!$B$25</f>
        <v>144.72086274048004</v>
      </c>
      <c r="BM11" s="172">
        <f>ФОТ!BM77*'Книга допущений'!$B$25</f>
        <v>150.50969725009921</v>
      </c>
      <c r="BN11" s="172">
        <f>ФОТ!BN77*'Книга допущений'!$B$25</f>
        <v>150.50969725009921</v>
      </c>
      <c r="BO11" s="172">
        <f>ФОТ!BO77*'Книга допущений'!$B$25</f>
        <v>150.50969725009921</v>
      </c>
      <c r="BP11" s="172">
        <f>ФОТ!BP77*'Книга допущений'!$B$25</f>
        <v>150.50969725009921</v>
      </c>
      <c r="BQ11" s="172">
        <f>ФОТ!BQ77*'Книга допущений'!$B$25</f>
        <v>150.50969725009921</v>
      </c>
      <c r="BR11" s="172">
        <f>ФОТ!BR77*'Книга допущений'!$B$25</f>
        <v>150.50969725009921</v>
      </c>
      <c r="BS11" s="172">
        <f>ФОТ!BS77*'Книга допущений'!$B$25</f>
        <v>150.50969725009921</v>
      </c>
      <c r="BT11" s="172">
        <f>ФОТ!BT77*'Книга допущений'!$B$25</f>
        <v>150.50969725009921</v>
      </c>
      <c r="BU11" s="172">
        <f>ФОТ!BU77*'Книга допущений'!$B$25</f>
        <v>150.50969725009921</v>
      </c>
      <c r="BV11" s="172">
        <f>ФОТ!BV77*'Книга допущений'!$B$25</f>
        <v>150.50969725009921</v>
      </c>
      <c r="BW11" s="172">
        <f>ФОТ!BW77*'Книга допущений'!$B$25</f>
        <v>150.50969725009921</v>
      </c>
      <c r="BX11" s="172">
        <f>ФОТ!BX77*'Книга допущений'!$B$25</f>
        <v>150.50969725009921</v>
      </c>
    </row>
    <row r="12" spans="1:76" s="30" customFormat="1" ht="13.5" customHeight="1" x14ac:dyDescent="0.25">
      <c r="A12" s="171" t="s">
        <v>375</v>
      </c>
      <c r="B12" s="153">
        <f>ОФР!B18</f>
        <v>0</v>
      </c>
      <c r="C12" s="153">
        <f>ОФР!C18</f>
        <v>0</v>
      </c>
      <c r="D12" s="153">
        <f>ОФР!D18</f>
        <v>0</v>
      </c>
      <c r="E12" s="153">
        <f>ОФР!E18</f>
        <v>0</v>
      </c>
      <c r="F12" s="153">
        <f>ОФР!F18</f>
        <v>0</v>
      </c>
      <c r="G12" s="153">
        <f>ОФР!G18</f>
        <v>0</v>
      </c>
      <c r="H12" s="153">
        <f>ОФР!H18</f>
        <v>0</v>
      </c>
      <c r="I12" s="153">
        <f>ОФР!I18</f>
        <v>0</v>
      </c>
      <c r="J12" s="153">
        <f>ОФР!J18</f>
        <v>0</v>
      </c>
      <c r="K12" s="153">
        <f>ОФР!K18</f>
        <v>210.59995007999993</v>
      </c>
      <c r="L12" s="153">
        <f>ОФР!L18</f>
        <v>167.35006329600003</v>
      </c>
      <c r="M12" s="153">
        <f>ОФР!M18</f>
        <v>126.68348160000002</v>
      </c>
      <c r="N12" s="153">
        <f>ОФР!N18</f>
        <v>116.09028849600001</v>
      </c>
      <c r="O12" s="153">
        <f>ОФР!O18</f>
        <v>81.99382464</v>
      </c>
      <c r="P12" s="153">
        <f>ОФР!P18</f>
        <v>329.8920081600001</v>
      </c>
      <c r="Q12" s="153">
        <f>ОФР!Q18</f>
        <v>125.13311096832005</v>
      </c>
      <c r="R12" s="153">
        <f>ОФР!R18</f>
        <v>96.643387975680042</v>
      </c>
      <c r="S12" s="153">
        <f>ОФР!S18</f>
        <v>140.77474983936008</v>
      </c>
      <c r="T12" s="153">
        <f>ОФР!T18</f>
        <v>115.72842677760005</v>
      </c>
      <c r="U12" s="153">
        <f>ОФР!U18</f>
        <v>303.37945497600026</v>
      </c>
      <c r="V12" s="153">
        <f>ОФР!V18</f>
        <v>376.57435545600003</v>
      </c>
      <c r="W12" s="153">
        <f>ОФР!W18</f>
        <v>484.90280816640006</v>
      </c>
      <c r="X12" s="153">
        <f>ОФР!X18</f>
        <v>439.52196986880006</v>
      </c>
      <c r="Y12" s="153">
        <f>ОФР!Y18</f>
        <v>288.74047487999997</v>
      </c>
      <c r="Z12" s="153">
        <f>ОФР!Z18</f>
        <v>221.05999518719997</v>
      </c>
      <c r="AA12" s="153">
        <f>ОФР!AA18</f>
        <v>121.81939660799999</v>
      </c>
      <c r="AB12" s="153">
        <f>ОФР!AB18</f>
        <v>507.59322731520001</v>
      </c>
      <c r="AC12" s="153">
        <f>ОФР!AC18</f>
        <v>168.90000339763196</v>
      </c>
      <c r="AD12" s="153">
        <f>ОФР!AD18</f>
        <v>118.24602764083198</v>
      </c>
      <c r="AE12" s="153">
        <f>ОФР!AE18</f>
        <v>168.90000339763196</v>
      </c>
      <c r="AF12" s="153">
        <f>ОФР!AF18</f>
        <v>126.69217247232</v>
      </c>
      <c r="AG12" s="153">
        <f>ОФР!AG18</f>
        <v>315.51463317504005</v>
      </c>
      <c r="AH12" s="153">
        <f>ОФР!AH18</f>
        <v>391.63732967424016</v>
      </c>
      <c r="AI12" s="153">
        <f>ОФР!AI18</f>
        <v>504.29892049305602</v>
      </c>
      <c r="AJ12" s="153">
        <f>ОФР!AJ18</f>
        <v>457.10284866355198</v>
      </c>
      <c r="AK12" s="153">
        <f>ОФР!AK18</f>
        <v>300.2900938752</v>
      </c>
      <c r="AL12" s="153">
        <f>ОФР!AL18</f>
        <v>229.90239499468794</v>
      </c>
      <c r="AM12" s="153">
        <f>ОФР!AM18</f>
        <v>126.69217247232</v>
      </c>
      <c r="AN12" s="153">
        <f>ОФР!AN18</f>
        <v>527.89695640780803</v>
      </c>
      <c r="AO12" s="153">
        <f>ОФР!AO18</f>
        <v>175.65600353353733</v>
      </c>
      <c r="AP12" s="153">
        <f>ОФР!AP18</f>
        <v>122.97586874646531</v>
      </c>
      <c r="AQ12" s="153">
        <f>ОФР!AQ18</f>
        <v>175.65600353353733</v>
      </c>
      <c r="AR12" s="153">
        <f>ОФР!AR18</f>
        <v>131.75985937121277</v>
      </c>
      <c r="AS12" s="153">
        <f>ОФР!AS18</f>
        <v>328.13521850204165</v>
      </c>
      <c r="AT12" s="153">
        <f>ОФР!AT18</f>
        <v>407.30282286120962</v>
      </c>
      <c r="AU12" s="153">
        <f>ОФР!AU18</f>
        <v>524.47087731277827</v>
      </c>
      <c r="AV12" s="153">
        <f>ОФР!AV18</f>
        <v>475.3869626100942</v>
      </c>
      <c r="AW12" s="153">
        <f>ОФР!AW18</f>
        <v>312.30169763020797</v>
      </c>
      <c r="AX12" s="153">
        <f>ОФР!AX18</f>
        <v>239.09849079447554</v>
      </c>
      <c r="AY12" s="153">
        <f>ОФР!AY18</f>
        <v>131.75985937121277</v>
      </c>
      <c r="AZ12" s="153">
        <f>ОФР!AZ18</f>
        <v>549.01283466412031</v>
      </c>
      <c r="BA12" s="153">
        <f>ОФР!BA18</f>
        <v>182.6822436748788</v>
      </c>
      <c r="BB12" s="153">
        <f>ОФР!BB18</f>
        <v>127.89490349632391</v>
      </c>
      <c r="BC12" s="153">
        <f>ОФР!BC18</f>
        <v>182.6822436748788</v>
      </c>
      <c r="BD12" s="153">
        <f>ОФР!BD18</f>
        <v>137.03025374606131</v>
      </c>
      <c r="BE12" s="153">
        <f>ОФР!BE18</f>
        <v>341.26062724212329</v>
      </c>
      <c r="BF12" s="153">
        <f>ОФР!BF18</f>
        <v>423.59493577565797</v>
      </c>
      <c r="BG12" s="153">
        <f>ОФР!BG18</f>
        <v>545.44971240528935</v>
      </c>
      <c r="BH12" s="153">
        <f>ОФР!BH18</f>
        <v>494.40244111449806</v>
      </c>
      <c r="BI12" s="153">
        <f>ОФР!BI18</f>
        <v>324.79376553541641</v>
      </c>
      <c r="BJ12" s="153">
        <f>ОФР!BJ18</f>
        <v>248.66243042625445</v>
      </c>
      <c r="BK12" s="153">
        <f>ОФР!BK18</f>
        <v>137.03025374606131</v>
      </c>
      <c r="BL12" s="153">
        <f>ОФР!BL18</f>
        <v>570.97334805068522</v>
      </c>
      <c r="BM12" s="153">
        <f>ОФР!BM18</f>
        <v>189.98953342187397</v>
      </c>
      <c r="BN12" s="153">
        <f>ОФР!BN18</f>
        <v>133.01069963617687</v>
      </c>
      <c r="BO12" s="153">
        <f>ОФР!BO18</f>
        <v>189.98953342187397</v>
      </c>
      <c r="BP12" s="153">
        <f>ОФР!BP18</f>
        <v>142.51146389590377</v>
      </c>
      <c r="BQ12" s="153">
        <f>ОФР!BQ18</f>
        <v>354.91105233180815</v>
      </c>
      <c r="BR12" s="153">
        <f>ОФР!BR18</f>
        <v>440.53873320668447</v>
      </c>
      <c r="BS12" s="153">
        <f>ОФР!BS18</f>
        <v>567.26770090150114</v>
      </c>
      <c r="BT12" s="153">
        <f>ОФР!BT18</f>
        <v>514.17853875907804</v>
      </c>
      <c r="BU12" s="153">
        <f>ОФР!BU18</f>
        <v>337.78551615683318</v>
      </c>
      <c r="BV12" s="153">
        <f>ОФР!BV18</f>
        <v>258.6089276433047</v>
      </c>
      <c r="BW12" s="153">
        <f>ОФР!BW18</f>
        <v>142.51146389590377</v>
      </c>
      <c r="BX12" s="153">
        <f>ОФР!BX18</f>
        <v>593.81228197271264</v>
      </c>
    </row>
    <row r="13" spans="1:76" s="30" customFormat="1" ht="13.5" customHeight="1" x14ac:dyDescent="0.25">
      <c r="A13" s="171" t="s">
        <v>57</v>
      </c>
      <c r="B13" s="172">
        <f>Расходы!B14</f>
        <v>15.200000000000003</v>
      </c>
      <c r="C13" s="172">
        <f>Расходы!C14</f>
        <v>15.200000000000003</v>
      </c>
      <c r="D13" s="172">
        <f>Расходы!D14</f>
        <v>15.200000000000003</v>
      </c>
      <c r="E13" s="172">
        <f>Расходы!E14</f>
        <v>15.808000000000003</v>
      </c>
      <c r="F13" s="172">
        <f>Расходы!F14</f>
        <v>15.808000000000003</v>
      </c>
      <c r="G13" s="172">
        <f>Расходы!G14</f>
        <v>15.808000000000003</v>
      </c>
      <c r="H13" s="172">
        <f>Расходы!H14</f>
        <v>15.808000000000003</v>
      </c>
      <c r="I13" s="172">
        <f>Расходы!I14</f>
        <v>15.808000000000003</v>
      </c>
      <c r="J13" s="172">
        <f>Расходы!J14</f>
        <v>49.004800000000003</v>
      </c>
      <c r="K13" s="172">
        <f>Расходы!K14</f>
        <v>94.848000000000013</v>
      </c>
      <c r="L13" s="172">
        <f>Расходы!L14</f>
        <v>144.64320000000004</v>
      </c>
      <c r="M13" s="172">
        <f>Расходы!M14</f>
        <v>144.64320000000004</v>
      </c>
      <c r="N13" s="172">
        <f>Расходы!N14</f>
        <v>144.64320000000004</v>
      </c>
      <c r="O13" s="172">
        <f>Расходы!O14</f>
        <v>144.64320000000004</v>
      </c>
      <c r="P13" s="172">
        <f>Расходы!P14</f>
        <v>144.64320000000004</v>
      </c>
      <c r="Q13" s="172">
        <f>Расходы!Q14</f>
        <v>150.42892800000001</v>
      </c>
      <c r="R13" s="172">
        <f>Расходы!R14</f>
        <v>150.42892800000001</v>
      </c>
      <c r="S13" s="172">
        <f>Расходы!S14</f>
        <v>150.42892800000001</v>
      </c>
      <c r="T13" s="172">
        <f>Расходы!T14</f>
        <v>150.42892800000001</v>
      </c>
      <c r="U13" s="172">
        <f>Расходы!U14</f>
        <v>150.42892800000001</v>
      </c>
      <c r="V13" s="172">
        <f>Расходы!V14</f>
        <v>150.42892800000001</v>
      </c>
      <c r="W13" s="172">
        <f>Расходы!W14</f>
        <v>150.42892800000001</v>
      </c>
      <c r="X13" s="172">
        <f>Расходы!X14</f>
        <v>150.42892800000001</v>
      </c>
      <c r="Y13" s="172">
        <f>Расходы!Y14</f>
        <v>150.42892800000001</v>
      </c>
      <c r="Z13" s="172">
        <f>Расходы!Z14</f>
        <v>150.42892800000001</v>
      </c>
      <c r="AA13" s="172">
        <f>Расходы!AA14</f>
        <v>150.42892800000001</v>
      </c>
      <c r="AB13" s="172">
        <f>Расходы!AB14</f>
        <v>150.42892800000001</v>
      </c>
      <c r="AC13" s="172">
        <f>Расходы!AC14</f>
        <v>156.44608512000002</v>
      </c>
      <c r="AD13" s="172">
        <f>Расходы!AD14</f>
        <v>156.44608512000002</v>
      </c>
      <c r="AE13" s="172">
        <f>Расходы!AE14</f>
        <v>156.44608512000002</v>
      </c>
      <c r="AF13" s="172">
        <f>Расходы!AF14</f>
        <v>156.44608512000002</v>
      </c>
      <c r="AG13" s="172">
        <f>Расходы!AG14</f>
        <v>156.44608512000002</v>
      </c>
      <c r="AH13" s="172">
        <f>Расходы!AH14</f>
        <v>156.44608512000002</v>
      </c>
      <c r="AI13" s="172">
        <f>Расходы!AI14</f>
        <v>156.44608512000002</v>
      </c>
      <c r="AJ13" s="172">
        <f>Расходы!AJ14</f>
        <v>156.44608512000002</v>
      </c>
      <c r="AK13" s="172">
        <f>Расходы!AK14</f>
        <v>156.44608512000002</v>
      </c>
      <c r="AL13" s="172">
        <f>Расходы!AL14</f>
        <v>156.44608512000002</v>
      </c>
      <c r="AM13" s="172">
        <f>Расходы!AM14</f>
        <v>156.44608512000002</v>
      </c>
      <c r="AN13" s="172">
        <f>Расходы!AN14</f>
        <v>156.44608512000002</v>
      </c>
      <c r="AO13" s="172">
        <f>Расходы!AO14</f>
        <v>162.70392852480006</v>
      </c>
      <c r="AP13" s="172">
        <f>Расходы!AP14</f>
        <v>162.70392852480006</v>
      </c>
      <c r="AQ13" s="172">
        <f>Расходы!AQ14</f>
        <v>162.70392852480006</v>
      </c>
      <c r="AR13" s="172">
        <f>Расходы!AR14</f>
        <v>162.70392852480006</v>
      </c>
      <c r="AS13" s="172">
        <f>Расходы!AS14</f>
        <v>162.70392852480006</v>
      </c>
      <c r="AT13" s="172">
        <f>Расходы!AT14</f>
        <v>162.70392852480006</v>
      </c>
      <c r="AU13" s="172">
        <f>Расходы!AU14</f>
        <v>162.70392852480006</v>
      </c>
      <c r="AV13" s="172">
        <f>Расходы!AV14</f>
        <v>162.70392852480006</v>
      </c>
      <c r="AW13" s="172">
        <f>Расходы!AW14</f>
        <v>162.70392852480006</v>
      </c>
      <c r="AX13" s="172">
        <f>Расходы!AX14</f>
        <v>162.70392852480006</v>
      </c>
      <c r="AY13" s="172">
        <f>Расходы!AY14</f>
        <v>162.70392852480006</v>
      </c>
      <c r="AZ13" s="172">
        <f>Расходы!AZ14</f>
        <v>162.70392852480006</v>
      </c>
      <c r="BA13" s="172">
        <f>Расходы!BA14</f>
        <v>169.21208566579207</v>
      </c>
      <c r="BB13" s="172">
        <f>Расходы!BB14</f>
        <v>169.21208566579207</v>
      </c>
      <c r="BC13" s="172">
        <f>Расходы!BC14</f>
        <v>169.21208566579207</v>
      </c>
      <c r="BD13" s="172">
        <f>Расходы!BD14</f>
        <v>169.21208566579207</v>
      </c>
      <c r="BE13" s="172">
        <f>Расходы!BE14</f>
        <v>169.21208566579207</v>
      </c>
      <c r="BF13" s="172">
        <f>Расходы!BF14</f>
        <v>169.21208566579207</v>
      </c>
      <c r="BG13" s="172">
        <f>Расходы!BG14</f>
        <v>169.21208566579207</v>
      </c>
      <c r="BH13" s="172">
        <f>Расходы!BH14</f>
        <v>169.21208566579207</v>
      </c>
      <c r="BI13" s="172">
        <f>Расходы!BI14</f>
        <v>169.21208566579207</v>
      </c>
      <c r="BJ13" s="172">
        <f>Расходы!BJ14</f>
        <v>169.21208566579207</v>
      </c>
      <c r="BK13" s="172">
        <f>Расходы!BK14</f>
        <v>169.21208566579207</v>
      </c>
      <c r="BL13" s="172">
        <f>Расходы!BL14</f>
        <v>169.21208566579207</v>
      </c>
      <c r="BM13" s="172">
        <f>Расходы!BM14</f>
        <v>175.98056909242374</v>
      </c>
      <c r="BN13" s="172">
        <f>Расходы!BN14</f>
        <v>175.98056909242374</v>
      </c>
      <c r="BO13" s="172">
        <f>Расходы!BO14</f>
        <v>175.98056909242374</v>
      </c>
      <c r="BP13" s="172">
        <f>Расходы!BP14</f>
        <v>175.98056909242374</v>
      </c>
      <c r="BQ13" s="172">
        <f>Расходы!BQ14</f>
        <v>175.98056909242374</v>
      </c>
      <c r="BR13" s="172">
        <f>Расходы!BR14</f>
        <v>175.98056909242374</v>
      </c>
      <c r="BS13" s="172">
        <f>Расходы!BS14</f>
        <v>175.98056909242374</v>
      </c>
      <c r="BT13" s="172">
        <f>Расходы!BT14</f>
        <v>175.98056909242374</v>
      </c>
      <c r="BU13" s="172">
        <f>Расходы!BU14</f>
        <v>175.98056909242374</v>
      </c>
      <c r="BV13" s="172">
        <f>Расходы!BV14</f>
        <v>175.98056909242374</v>
      </c>
      <c r="BW13" s="172">
        <f>Расходы!BW14</f>
        <v>175.98056909242374</v>
      </c>
      <c r="BX13" s="172">
        <f>Расходы!BX14</f>
        <v>175.98056909242374</v>
      </c>
    </row>
    <row r="15" spans="1:76" x14ac:dyDescent="0.25">
      <c r="A15" s="4" t="s">
        <v>374</v>
      </c>
      <c r="B15" s="4"/>
      <c r="C15" s="4"/>
      <c r="D15" s="4"/>
    </row>
    <row r="16" spans="1:76" x14ac:dyDescent="0.25">
      <c r="A16" s="169"/>
      <c r="B16" s="368">
        <f>'План продаж'!C36</f>
        <v>2020</v>
      </c>
      <c r="C16" s="368">
        <f>'План продаж'!D36</f>
        <v>2021</v>
      </c>
      <c r="D16" s="368">
        <f>'План продаж'!E36</f>
        <v>2022</v>
      </c>
      <c r="E16" s="368">
        <f>'План продаж'!F36</f>
        <v>2023</v>
      </c>
      <c r="F16" s="368">
        <f>'План продаж'!G36</f>
        <v>2024</v>
      </c>
      <c r="G16" s="368">
        <f>'План продаж'!H36</f>
        <v>2025</v>
      </c>
      <c r="H16" s="368">
        <f>'План продаж'!I36</f>
        <v>2026</v>
      </c>
      <c r="I16" s="140" t="s">
        <v>50</v>
      </c>
    </row>
    <row r="17" spans="1:14" x14ac:dyDescent="0.25">
      <c r="A17" s="170" t="s">
        <v>44</v>
      </c>
      <c r="B17" s="156">
        <f>SUM(B18:B20)</f>
        <v>84.600000000000009</v>
      </c>
      <c r="C17" s="156">
        <f t="shared" ref="C17:F17" si="2">SUM(C18:C20)</f>
        <v>2787.890416272</v>
      </c>
      <c r="D17" s="156">
        <f t="shared" si="2"/>
        <v>6570.8943340185615</v>
      </c>
      <c r="E17" s="156">
        <f t="shared" si="2"/>
        <v>6919.0574517043215</v>
      </c>
      <c r="F17" s="156">
        <f t="shared" si="2"/>
        <v>7195.8197497724941</v>
      </c>
      <c r="G17" s="156">
        <f t="shared" ref="G17:I17" si="3">SUM(G18:G20)</f>
        <v>7483.6525397633941</v>
      </c>
      <c r="H17" s="156">
        <f t="shared" si="3"/>
        <v>7782.99864135393</v>
      </c>
      <c r="I17" s="156">
        <f t="shared" si="3"/>
        <v>38824.9131328847</v>
      </c>
    </row>
    <row r="18" spans="1:14" x14ac:dyDescent="0.25">
      <c r="A18" s="171" t="str">
        <f>A11</f>
        <v>НДФЛ</v>
      </c>
      <c r="B18" s="133">
        <f>SUMIF($B$8:$BX$8,B$16,$B11:$BX11)</f>
        <v>39</v>
      </c>
      <c r="C18" s="133">
        <f t="shared" ref="C18:H18" si="4">SUMIF($B$8:$BX$8,C$16,$B11:$BX11)</f>
        <v>809.17200000000003</v>
      </c>
      <c r="D18" s="133">
        <f t="shared" si="4"/>
        <v>1543.8758400000004</v>
      </c>
      <c r="E18" s="133">
        <f t="shared" si="4"/>
        <v>1605.6308736000001</v>
      </c>
      <c r="F18" s="133">
        <f t="shared" si="4"/>
        <v>1669.8561085439999</v>
      </c>
      <c r="G18" s="133">
        <f t="shared" si="4"/>
        <v>1736.6503528857604</v>
      </c>
      <c r="H18" s="133">
        <f t="shared" si="4"/>
        <v>1806.1163670011904</v>
      </c>
      <c r="I18" s="153">
        <f>SUM(B18:H18)</f>
        <v>9210.3015420309512</v>
      </c>
    </row>
    <row r="19" spans="1:14" x14ac:dyDescent="0.25">
      <c r="A19" s="171" t="str">
        <f t="shared" ref="A19:A20" si="5">A12</f>
        <v>Налог по УСН</v>
      </c>
      <c r="B19" s="133">
        <f t="shared" ref="B19:H20" si="6">SUMIF($B$8:$BX$8,B$16,$B12:$BX12)</f>
        <v>0</v>
      </c>
      <c r="C19" s="133">
        <f t="shared" si="6"/>
        <v>1032.609616272</v>
      </c>
      <c r="D19" s="133">
        <f t="shared" si="6"/>
        <v>3221.8713580185604</v>
      </c>
      <c r="E19" s="133">
        <f t="shared" si="6"/>
        <v>3436.0735566643202</v>
      </c>
      <c r="F19" s="133">
        <f t="shared" si="6"/>
        <v>3573.5164989308932</v>
      </c>
      <c r="G19" s="133">
        <f t="shared" si="6"/>
        <v>3716.4571588881286</v>
      </c>
      <c r="H19" s="133">
        <f t="shared" si="6"/>
        <v>3865.1154452436544</v>
      </c>
      <c r="I19" s="153">
        <f t="shared" ref="I19:I20" si="7">SUM(B19:H19)</f>
        <v>18845.643634017557</v>
      </c>
    </row>
    <row r="20" spans="1:14" x14ac:dyDescent="0.25">
      <c r="A20" s="171" t="str">
        <f t="shared" si="5"/>
        <v>Страховые взносы</v>
      </c>
      <c r="B20" s="133">
        <f t="shared" si="6"/>
        <v>45.600000000000009</v>
      </c>
      <c r="C20" s="133">
        <f t="shared" si="6"/>
        <v>946.10879999999997</v>
      </c>
      <c r="D20" s="133">
        <f t="shared" si="6"/>
        <v>1805.1471360000003</v>
      </c>
      <c r="E20" s="133">
        <f t="shared" si="6"/>
        <v>1877.3530214400007</v>
      </c>
      <c r="F20" s="133">
        <f t="shared" si="6"/>
        <v>1952.4471422976012</v>
      </c>
      <c r="G20" s="133">
        <f t="shared" si="6"/>
        <v>2030.5450279895049</v>
      </c>
      <c r="H20" s="133">
        <f t="shared" si="6"/>
        <v>2111.7668291090854</v>
      </c>
      <c r="I20" s="153">
        <f t="shared" si="7"/>
        <v>10768.967956836193</v>
      </c>
    </row>
    <row r="21" spans="1:14" x14ac:dyDescent="0.25">
      <c r="N21" s="70"/>
    </row>
    <row r="45" spans="6:6" x14ac:dyDescent="0.25">
      <c r="F45" s="74"/>
    </row>
  </sheetData>
  <phoneticPr fontId="6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X73"/>
  <sheetViews>
    <sheetView showGridLines="0" topLeftCell="A31" workbookViewId="0">
      <selection activeCell="A46" sqref="A46:I46"/>
    </sheetView>
  </sheetViews>
  <sheetFormatPr defaultColWidth="9.33203125" defaultRowHeight="13.2" x14ac:dyDescent="0.25"/>
  <cols>
    <col min="1" max="1" width="44.109375" style="13" customWidth="1"/>
    <col min="2" max="7" width="11" style="13" customWidth="1"/>
    <col min="8" max="16" width="11" style="20" customWidth="1"/>
    <col min="17" max="75" width="11" style="13" customWidth="1"/>
    <col min="76" max="16384" width="9.33203125" style="13"/>
  </cols>
  <sheetData>
    <row r="1" spans="1:76" s="376" customFormat="1" ht="28.5" customHeight="1" x14ac:dyDescent="0.3">
      <c r="A1" s="404" t="s">
        <v>163</v>
      </c>
      <c r="B1" s="375"/>
    </row>
    <row r="2" spans="1:76" s="376" customFormat="1" ht="19.5" customHeight="1" x14ac:dyDescent="0.25">
      <c r="A2" s="380" t="str">
        <f>'План продаж'!A2</f>
        <v>Парк мобильных домов</v>
      </c>
      <c r="B2" s="377"/>
    </row>
    <row r="3" spans="1:76" s="376" customFormat="1" ht="15" customHeight="1" x14ac:dyDescent="0.25">
      <c r="A3" s="378"/>
      <c r="B3" s="379"/>
    </row>
    <row r="4" spans="1:76" s="12" customFormat="1" ht="21.75" customHeight="1" x14ac:dyDescent="0.25">
      <c r="A4" s="14"/>
      <c r="B4"/>
    </row>
    <row r="5" spans="1:76" x14ac:dyDescent="0.25">
      <c r="A5" s="16" t="s">
        <v>70</v>
      </c>
      <c r="B5" s="16"/>
      <c r="C5" s="16"/>
      <c r="D5" s="16"/>
      <c r="E5" s="3"/>
      <c r="F5" s="3"/>
      <c r="G5" s="3"/>
      <c r="H5" s="3"/>
      <c r="I5" s="3"/>
      <c r="J5" s="13"/>
      <c r="K5" s="13"/>
      <c r="L5" s="13"/>
      <c r="M5" s="13"/>
      <c r="N5" s="13"/>
      <c r="O5" s="13"/>
      <c r="P5" s="13"/>
      <c r="Q5" s="29"/>
    </row>
    <row r="6" spans="1:76" x14ac:dyDescent="0.25">
      <c r="H6" s="13"/>
      <c r="I6" s="13"/>
      <c r="R6" s="20"/>
      <c r="S6" s="20"/>
      <c r="T6" s="20"/>
      <c r="U6" s="20"/>
    </row>
    <row r="7" spans="1:76" x14ac:dyDescent="0.25">
      <c r="A7" s="16" t="s">
        <v>149</v>
      </c>
      <c r="H7" s="13"/>
      <c r="I7" s="13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1:76" ht="12.75" customHeight="1" x14ac:dyDescent="0.25">
      <c r="A8" s="501" t="s">
        <v>71</v>
      </c>
      <c r="B8" s="185">
        <f>'План продаж'!C8</f>
        <v>2020</v>
      </c>
      <c r="C8" s="185">
        <f>'План продаж'!D8</f>
        <v>2020</v>
      </c>
      <c r="D8" s="185">
        <f>'План продаж'!E8</f>
        <v>2020</v>
      </c>
      <c r="E8" s="185">
        <f>'План продаж'!F8</f>
        <v>2021</v>
      </c>
      <c r="F8" s="185">
        <f>'План продаж'!G8</f>
        <v>2021</v>
      </c>
      <c r="G8" s="185">
        <f>'План продаж'!H8</f>
        <v>2021</v>
      </c>
      <c r="H8" s="185">
        <f>'План продаж'!I8</f>
        <v>2021</v>
      </c>
      <c r="I8" s="185">
        <f>'План продаж'!J8</f>
        <v>2021</v>
      </c>
      <c r="J8" s="185">
        <f>'План продаж'!K8</f>
        <v>2021</v>
      </c>
      <c r="K8" s="185">
        <f>'План продаж'!L8</f>
        <v>2021</v>
      </c>
      <c r="L8" s="185">
        <f>'План продаж'!M8</f>
        <v>2021</v>
      </c>
      <c r="M8" s="185">
        <f>'План продаж'!N8</f>
        <v>2021</v>
      </c>
      <c r="N8" s="185">
        <f>'План продаж'!O8</f>
        <v>2021</v>
      </c>
      <c r="O8" s="185">
        <f>'План продаж'!P8</f>
        <v>2021</v>
      </c>
      <c r="P8" s="185">
        <f>'План продаж'!Q8</f>
        <v>2021</v>
      </c>
      <c r="Q8" s="185">
        <f>'План продаж'!R8</f>
        <v>2022</v>
      </c>
      <c r="R8" s="185">
        <f>'План продаж'!S8</f>
        <v>2022</v>
      </c>
      <c r="S8" s="185">
        <f>'План продаж'!T8</f>
        <v>2022</v>
      </c>
      <c r="T8" s="185">
        <f>'План продаж'!U8</f>
        <v>2022</v>
      </c>
      <c r="U8" s="185">
        <f>'План продаж'!V8</f>
        <v>2022</v>
      </c>
      <c r="V8" s="185">
        <f>'План продаж'!W8</f>
        <v>2022</v>
      </c>
      <c r="W8" s="185">
        <f>'План продаж'!X8</f>
        <v>2022</v>
      </c>
      <c r="X8" s="185">
        <f>'План продаж'!Y8</f>
        <v>2022</v>
      </c>
      <c r="Y8" s="185">
        <f>'План продаж'!Z8</f>
        <v>2022</v>
      </c>
      <c r="Z8" s="185">
        <f>'План продаж'!AA8</f>
        <v>2022</v>
      </c>
      <c r="AA8" s="185">
        <f>'План продаж'!AB8</f>
        <v>2022</v>
      </c>
      <c r="AB8" s="185">
        <f>'План продаж'!AC8</f>
        <v>2022</v>
      </c>
      <c r="AC8" s="185">
        <f>'План продаж'!AD8</f>
        <v>2023</v>
      </c>
      <c r="AD8" s="185">
        <f>'План продаж'!AE8</f>
        <v>2023</v>
      </c>
      <c r="AE8" s="185">
        <f>'План продаж'!AF8</f>
        <v>2023</v>
      </c>
      <c r="AF8" s="185">
        <f>'План продаж'!AG8</f>
        <v>2023</v>
      </c>
      <c r="AG8" s="185">
        <f>'План продаж'!AH8</f>
        <v>2023</v>
      </c>
      <c r="AH8" s="185">
        <f>'План продаж'!AI8</f>
        <v>2023</v>
      </c>
      <c r="AI8" s="185">
        <f>'План продаж'!AJ8</f>
        <v>2023</v>
      </c>
      <c r="AJ8" s="185">
        <f>'План продаж'!AK8</f>
        <v>2023</v>
      </c>
      <c r="AK8" s="185">
        <f>'План продаж'!AL8</f>
        <v>2023</v>
      </c>
      <c r="AL8" s="185">
        <f>'План продаж'!AM8</f>
        <v>2023</v>
      </c>
      <c r="AM8" s="185">
        <f>'План продаж'!AN8</f>
        <v>2023</v>
      </c>
      <c r="AN8" s="185">
        <f>'План продаж'!AO8</f>
        <v>2023</v>
      </c>
      <c r="AO8" s="185">
        <f>'План продаж'!AP8</f>
        <v>2024</v>
      </c>
      <c r="AP8" s="185">
        <f>'План продаж'!AQ8</f>
        <v>2024</v>
      </c>
      <c r="AQ8" s="185">
        <f>'План продаж'!AR8</f>
        <v>2024</v>
      </c>
      <c r="AR8" s="185">
        <f>'План продаж'!AS8</f>
        <v>2024</v>
      </c>
      <c r="AS8" s="185">
        <f>'План продаж'!AT8</f>
        <v>2024</v>
      </c>
      <c r="AT8" s="185">
        <f>'План продаж'!AU8</f>
        <v>2024</v>
      </c>
      <c r="AU8" s="185">
        <f>'План продаж'!AV8</f>
        <v>2024</v>
      </c>
      <c r="AV8" s="185">
        <f>'План продаж'!AW8</f>
        <v>2024</v>
      </c>
      <c r="AW8" s="185">
        <f>'План продаж'!AX8</f>
        <v>2024</v>
      </c>
      <c r="AX8" s="185">
        <f>'План продаж'!AY8</f>
        <v>2024</v>
      </c>
      <c r="AY8" s="185">
        <f>'План продаж'!AZ8</f>
        <v>2024</v>
      </c>
      <c r="AZ8" s="185">
        <f>'План продаж'!BA8</f>
        <v>2024</v>
      </c>
      <c r="BA8" s="185">
        <f>'План продаж'!BB8</f>
        <v>2025</v>
      </c>
      <c r="BB8" s="185">
        <f>'План продаж'!BC8</f>
        <v>2025</v>
      </c>
      <c r="BC8" s="185">
        <f>'План продаж'!BD8</f>
        <v>2025</v>
      </c>
      <c r="BD8" s="185">
        <f>'План продаж'!BE8</f>
        <v>2025</v>
      </c>
      <c r="BE8" s="185">
        <f>'План продаж'!BF8</f>
        <v>2025</v>
      </c>
      <c r="BF8" s="185">
        <f>'План продаж'!BG8</f>
        <v>2025</v>
      </c>
      <c r="BG8" s="185">
        <f>'План продаж'!BH8</f>
        <v>2025</v>
      </c>
      <c r="BH8" s="185">
        <f>'План продаж'!BI8</f>
        <v>2025</v>
      </c>
      <c r="BI8" s="185">
        <f>'План продаж'!BJ8</f>
        <v>2025</v>
      </c>
      <c r="BJ8" s="185">
        <f>'План продаж'!BK8</f>
        <v>2025</v>
      </c>
      <c r="BK8" s="185">
        <f>'План продаж'!BL8</f>
        <v>2025</v>
      </c>
      <c r="BL8" s="185">
        <f>'План продаж'!BM8</f>
        <v>2025</v>
      </c>
      <c r="BM8" s="185">
        <f>'План продаж'!BN8</f>
        <v>2026</v>
      </c>
      <c r="BN8" s="185">
        <f>'План продаж'!BO8</f>
        <v>2026</v>
      </c>
      <c r="BO8" s="185">
        <f>'План продаж'!BP8</f>
        <v>2026</v>
      </c>
      <c r="BP8" s="185">
        <f>'План продаж'!BQ8</f>
        <v>2026</v>
      </c>
      <c r="BQ8" s="185">
        <f>'План продаж'!BR8</f>
        <v>2026</v>
      </c>
      <c r="BR8" s="185">
        <f>'План продаж'!BS8</f>
        <v>2026</v>
      </c>
      <c r="BS8" s="185">
        <f>'План продаж'!BT8</f>
        <v>2026</v>
      </c>
      <c r="BT8" s="185">
        <f>'План продаж'!BU8</f>
        <v>2026</v>
      </c>
      <c r="BU8" s="185">
        <f>'План продаж'!BV8</f>
        <v>2026</v>
      </c>
      <c r="BV8" s="185">
        <f>'План продаж'!BW8</f>
        <v>2026</v>
      </c>
      <c r="BW8" s="185">
        <f>'План продаж'!BX8</f>
        <v>2026</v>
      </c>
      <c r="BX8" s="185">
        <f>'План продаж'!BY8</f>
        <v>2026</v>
      </c>
    </row>
    <row r="9" spans="1:76" ht="12.75" customHeight="1" x14ac:dyDescent="0.25">
      <c r="A9" s="502"/>
      <c r="B9" s="396">
        <f>'План продаж'!C9</f>
        <v>44106</v>
      </c>
      <c r="C9" s="396">
        <f>'План продаж'!D9</f>
        <v>44137</v>
      </c>
      <c r="D9" s="396">
        <f>'План продаж'!E9</f>
        <v>44167</v>
      </c>
      <c r="E9" s="396">
        <f>'План продаж'!F9</f>
        <v>44198</v>
      </c>
      <c r="F9" s="396">
        <f>'План продаж'!G9</f>
        <v>44229</v>
      </c>
      <c r="G9" s="396">
        <f>'План продаж'!H9</f>
        <v>44257</v>
      </c>
      <c r="H9" s="396">
        <f>'План продаж'!I9</f>
        <v>44288</v>
      </c>
      <c r="I9" s="396">
        <f>'План продаж'!J9</f>
        <v>44318</v>
      </c>
      <c r="J9" s="396">
        <f>'План продаж'!K9</f>
        <v>44349</v>
      </c>
      <c r="K9" s="396">
        <f>'План продаж'!L9</f>
        <v>44379</v>
      </c>
      <c r="L9" s="396">
        <f>'План продаж'!M9</f>
        <v>44410</v>
      </c>
      <c r="M9" s="396">
        <f>'План продаж'!N9</f>
        <v>44441</v>
      </c>
      <c r="N9" s="396">
        <f>'План продаж'!O9</f>
        <v>44471</v>
      </c>
      <c r="O9" s="396">
        <f>'План продаж'!P9</f>
        <v>44502</v>
      </c>
      <c r="P9" s="396">
        <f>'План продаж'!Q9</f>
        <v>44532</v>
      </c>
      <c r="Q9" s="396">
        <f>'План продаж'!R9</f>
        <v>44563</v>
      </c>
      <c r="R9" s="396">
        <f>'План продаж'!S9</f>
        <v>44594</v>
      </c>
      <c r="S9" s="396">
        <f>'План продаж'!T9</f>
        <v>44622</v>
      </c>
      <c r="T9" s="396">
        <f>'План продаж'!U9</f>
        <v>44653</v>
      </c>
      <c r="U9" s="396">
        <f>'План продаж'!V9</f>
        <v>44683</v>
      </c>
      <c r="V9" s="396">
        <f>'План продаж'!W9</f>
        <v>44714</v>
      </c>
      <c r="W9" s="396">
        <f>'План продаж'!X9</f>
        <v>44744</v>
      </c>
      <c r="X9" s="396">
        <f>'План продаж'!Y9</f>
        <v>44775</v>
      </c>
      <c r="Y9" s="396">
        <f>'План продаж'!Z9</f>
        <v>44806</v>
      </c>
      <c r="Z9" s="396">
        <f>'План продаж'!AA9</f>
        <v>44836</v>
      </c>
      <c r="AA9" s="396">
        <f>'План продаж'!AB9</f>
        <v>44867</v>
      </c>
      <c r="AB9" s="396">
        <f>'План продаж'!AC9</f>
        <v>44897</v>
      </c>
      <c r="AC9" s="396">
        <f>'План продаж'!AD9</f>
        <v>44928</v>
      </c>
      <c r="AD9" s="396">
        <f>'План продаж'!AE9</f>
        <v>44959</v>
      </c>
      <c r="AE9" s="396">
        <f>'План продаж'!AF9</f>
        <v>44987</v>
      </c>
      <c r="AF9" s="396">
        <f>'План продаж'!AG9</f>
        <v>45018</v>
      </c>
      <c r="AG9" s="396">
        <f>'План продаж'!AH9</f>
        <v>45048</v>
      </c>
      <c r="AH9" s="396">
        <f>'План продаж'!AI9</f>
        <v>45079</v>
      </c>
      <c r="AI9" s="396">
        <f>'План продаж'!AJ9</f>
        <v>45109</v>
      </c>
      <c r="AJ9" s="396">
        <f>'План продаж'!AK9</f>
        <v>45140</v>
      </c>
      <c r="AK9" s="396">
        <f>'План продаж'!AL9</f>
        <v>45171</v>
      </c>
      <c r="AL9" s="396">
        <f>'План продаж'!AM9</f>
        <v>45201</v>
      </c>
      <c r="AM9" s="396">
        <f>'План продаж'!AN9</f>
        <v>45232</v>
      </c>
      <c r="AN9" s="396">
        <f>'План продаж'!AO9</f>
        <v>45262</v>
      </c>
      <c r="AO9" s="396">
        <f>'План продаж'!AP9</f>
        <v>45293</v>
      </c>
      <c r="AP9" s="396">
        <f>'План продаж'!AQ9</f>
        <v>45324</v>
      </c>
      <c r="AQ9" s="396">
        <f>'План продаж'!AR9</f>
        <v>45353</v>
      </c>
      <c r="AR9" s="396">
        <f>'План продаж'!AS9</f>
        <v>45384</v>
      </c>
      <c r="AS9" s="396">
        <f>'План продаж'!AT9</f>
        <v>45414</v>
      </c>
      <c r="AT9" s="396">
        <f>'План продаж'!AU9</f>
        <v>45445</v>
      </c>
      <c r="AU9" s="396">
        <f>'План продаж'!AV9</f>
        <v>45475</v>
      </c>
      <c r="AV9" s="396">
        <f>'План продаж'!AW9</f>
        <v>45506</v>
      </c>
      <c r="AW9" s="396">
        <f>'План продаж'!AX9</f>
        <v>45537</v>
      </c>
      <c r="AX9" s="396">
        <f>'План продаж'!AY9</f>
        <v>45567</v>
      </c>
      <c r="AY9" s="396">
        <f>'План продаж'!AZ9</f>
        <v>45598</v>
      </c>
      <c r="AZ9" s="396">
        <f>'План продаж'!BA9</f>
        <v>45628</v>
      </c>
      <c r="BA9" s="396">
        <f>'План продаж'!BB9</f>
        <v>45659</v>
      </c>
      <c r="BB9" s="396">
        <f>'План продаж'!BC9</f>
        <v>45690</v>
      </c>
      <c r="BC9" s="396">
        <f>'План продаж'!BD9</f>
        <v>45718</v>
      </c>
      <c r="BD9" s="396">
        <f>'План продаж'!BE9</f>
        <v>45749</v>
      </c>
      <c r="BE9" s="396">
        <f>'План продаж'!BF9</f>
        <v>45779</v>
      </c>
      <c r="BF9" s="396">
        <f>'План продаж'!BG9</f>
        <v>45810</v>
      </c>
      <c r="BG9" s="396">
        <f>'План продаж'!BH9</f>
        <v>45840</v>
      </c>
      <c r="BH9" s="396">
        <f>'План продаж'!BI9</f>
        <v>45871</v>
      </c>
      <c r="BI9" s="396">
        <f>'План продаж'!BJ9</f>
        <v>45902</v>
      </c>
      <c r="BJ9" s="396">
        <f>'План продаж'!BK9</f>
        <v>45932</v>
      </c>
      <c r="BK9" s="396">
        <f>'План продаж'!BL9</f>
        <v>45963</v>
      </c>
      <c r="BL9" s="396">
        <f>'План продаж'!BM9</f>
        <v>45993</v>
      </c>
      <c r="BM9" s="396">
        <f>'План продаж'!BN9</f>
        <v>46024</v>
      </c>
      <c r="BN9" s="396">
        <f>'План продаж'!BO9</f>
        <v>46055</v>
      </c>
      <c r="BO9" s="396">
        <f>'План продаж'!BP9</f>
        <v>46083</v>
      </c>
      <c r="BP9" s="396">
        <f>'План продаж'!BQ9</f>
        <v>46114</v>
      </c>
      <c r="BQ9" s="396">
        <f>'План продаж'!BR9</f>
        <v>46144</v>
      </c>
      <c r="BR9" s="396">
        <f>'План продаж'!BS9</f>
        <v>46175</v>
      </c>
      <c r="BS9" s="396">
        <f>'План продаж'!BT9</f>
        <v>46205</v>
      </c>
      <c r="BT9" s="396">
        <f>'План продаж'!BU9</f>
        <v>46236</v>
      </c>
      <c r="BU9" s="396">
        <f>'План продаж'!BV9</f>
        <v>46267</v>
      </c>
      <c r="BV9" s="396">
        <f>'План продаж'!BW9</f>
        <v>46297</v>
      </c>
      <c r="BW9" s="396">
        <f>'План продаж'!BX9</f>
        <v>46328</v>
      </c>
      <c r="BX9" s="396">
        <f>'План продаж'!BY9</f>
        <v>46358</v>
      </c>
    </row>
    <row r="10" spans="1:76" x14ac:dyDescent="0.25">
      <c r="A10" s="157" t="s">
        <v>75</v>
      </c>
      <c r="B10" s="137">
        <f>'План продаж'!C27</f>
        <v>0</v>
      </c>
      <c r="C10" s="137">
        <f>'План продаж'!D27</f>
        <v>0</v>
      </c>
      <c r="D10" s="137">
        <f>'План продаж'!E27</f>
        <v>0</v>
      </c>
      <c r="E10" s="137">
        <f>'План продаж'!F27</f>
        <v>0</v>
      </c>
      <c r="F10" s="137">
        <f>'План продаж'!G27</f>
        <v>0</v>
      </c>
      <c r="G10" s="137">
        <f>'План продаж'!H27</f>
        <v>0</v>
      </c>
      <c r="H10" s="137">
        <f>'План продаж'!I27</f>
        <v>0</v>
      </c>
      <c r="I10" s="137">
        <f>'План продаж'!J27</f>
        <v>0</v>
      </c>
      <c r="J10" s="137">
        <f>'План продаж'!K27</f>
        <v>0</v>
      </c>
      <c r="K10" s="137">
        <f>'План продаж'!L27</f>
        <v>5090.7991679999996</v>
      </c>
      <c r="L10" s="137">
        <f>'План продаж'!M27</f>
        <v>5199.887721600001</v>
      </c>
      <c r="M10" s="137">
        <f>'План продаж'!N27</f>
        <v>4222.7827200000011</v>
      </c>
      <c r="N10" s="137">
        <f>'План продаж'!O27</f>
        <v>3869.6762832000004</v>
      </c>
      <c r="O10" s="137">
        <f>'План продаж'!P27</f>
        <v>2733.1274880000001</v>
      </c>
      <c r="P10" s="137">
        <f>'План продаж'!Q27</f>
        <v>7908.9201360000025</v>
      </c>
      <c r="Q10" s="137">
        <f>'План продаж'!R27</f>
        <v>4171.1036989440017</v>
      </c>
      <c r="R10" s="137">
        <f>'План продаж'!S27</f>
        <v>3221.4462658560014</v>
      </c>
      <c r="S10" s="137">
        <f>'План продаж'!T27</f>
        <v>4692.4916613120031</v>
      </c>
      <c r="T10" s="137">
        <f>'План продаж'!U27</f>
        <v>3857.6142259200019</v>
      </c>
      <c r="U10" s="137">
        <f>'План продаж'!V27</f>
        <v>7563.4730496000047</v>
      </c>
      <c r="V10" s="137">
        <f>'План продаж'!W27</f>
        <v>8783.388057600001</v>
      </c>
      <c r="W10" s="137">
        <f>'План продаж'!X27</f>
        <v>10588.862269440002</v>
      </c>
      <c r="X10" s="137">
        <f>'План продаж'!Y27</f>
        <v>9832.5149644800022</v>
      </c>
      <c r="Y10" s="137">
        <f>'План продаж'!Z27</f>
        <v>7319.4900480000006</v>
      </c>
      <c r="Z10" s="137">
        <f>'План продаж'!AA27</f>
        <v>6191.4820531200003</v>
      </c>
      <c r="AA10" s="137">
        <f>'План продаж'!AB27</f>
        <v>4060.6465536000001</v>
      </c>
      <c r="AB10" s="137">
        <f>'План продаж'!AC27</f>
        <v>10967.035921920002</v>
      </c>
      <c r="AC10" s="137">
        <f>'План продаж'!AD27</f>
        <v>5422.4348086272003</v>
      </c>
      <c r="AD10" s="137">
        <f>'План продаж'!AE27</f>
        <v>3941.5342546943998</v>
      </c>
      <c r="AE10" s="137">
        <f>'План продаж'!AF27</f>
        <v>5422.4348086272003</v>
      </c>
      <c r="AF10" s="137">
        <f>'План продаж'!AG27</f>
        <v>4223.072415744</v>
      </c>
      <c r="AG10" s="137">
        <f>'План продаж'!AH27</f>
        <v>7866.011971584001</v>
      </c>
      <c r="AH10" s="137">
        <f>'План продаж'!AI27</f>
        <v>9134.7235799040027</v>
      </c>
      <c r="AI10" s="137">
        <f>'План продаж'!AJ27</f>
        <v>11012.4167602176</v>
      </c>
      <c r="AJ10" s="137">
        <f>'План продаж'!AK27</f>
        <v>10225.815563059201</v>
      </c>
      <c r="AK10" s="137">
        <f>'План продаж'!AL27</f>
        <v>7612.269649920001</v>
      </c>
      <c r="AL10" s="137">
        <f>'План продаж'!AM27</f>
        <v>6439.1413352447998</v>
      </c>
      <c r="AM10" s="137">
        <f>'План продаж'!AN27</f>
        <v>4223.072415744</v>
      </c>
      <c r="AN10" s="137">
        <f>'План продаж'!AO27</f>
        <v>11405.717358796801</v>
      </c>
      <c r="AO10" s="137">
        <f>'План продаж'!AP27</f>
        <v>5639.3322009722897</v>
      </c>
      <c r="AP10" s="137">
        <f>'План продаж'!AQ27</f>
        <v>4099.1956248821771</v>
      </c>
      <c r="AQ10" s="137">
        <f>'План продаж'!AR27</f>
        <v>5639.3322009722897</v>
      </c>
      <c r="AR10" s="137">
        <f>'План продаж'!AS27</f>
        <v>4391.9953123737596</v>
      </c>
      <c r="AS10" s="137">
        <f>'План продаж'!AT27</f>
        <v>8180.6524504473618</v>
      </c>
      <c r="AT10" s="137">
        <f>'План продаж'!AU27</f>
        <v>9500.1125231001624</v>
      </c>
      <c r="AU10" s="137">
        <f>'План продаж'!AV27</f>
        <v>11452.913430626306</v>
      </c>
      <c r="AV10" s="137">
        <f>'План продаж'!AW27</f>
        <v>10634.848185581572</v>
      </c>
      <c r="AW10" s="137">
        <f>'План продаж'!AX27</f>
        <v>7916.7604359168008</v>
      </c>
      <c r="AX10" s="137">
        <f>'План продаж'!AY27</f>
        <v>6696.7069886545933</v>
      </c>
      <c r="AY10" s="137">
        <f>'План продаж'!AZ27</f>
        <v>4391.9953123737596</v>
      </c>
      <c r="AZ10" s="137">
        <f>'План продаж'!BA27</f>
        <v>11861.946053148673</v>
      </c>
      <c r="BA10" s="137">
        <f>'План продаж'!BB27</f>
        <v>5864.905489011182</v>
      </c>
      <c r="BB10" s="137">
        <f>'План продаж'!BC27</f>
        <v>4263.1634498774638</v>
      </c>
      <c r="BC10" s="137">
        <f>'План продаж'!BD27</f>
        <v>5864.905489011182</v>
      </c>
      <c r="BD10" s="137">
        <f>'План продаж'!BE27</f>
        <v>4567.6751248687106</v>
      </c>
      <c r="BE10" s="137">
        <f>'План продаж'!BF27</f>
        <v>8507.8785484652562</v>
      </c>
      <c r="BF10" s="137">
        <f>'План продаж'!BG27</f>
        <v>9880.1170240241681</v>
      </c>
      <c r="BG10" s="137">
        <f>'План продаж'!BH27</f>
        <v>11911.029967851358</v>
      </c>
      <c r="BH10" s="137">
        <f>'План продаж'!BI27</f>
        <v>11060.242113004835</v>
      </c>
      <c r="BI10" s="137">
        <f>'План продаж'!BJ27</f>
        <v>8233.430853353475</v>
      </c>
      <c r="BJ10" s="137">
        <f>'План продаж'!BK27</f>
        <v>6964.575268200776</v>
      </c>
      <c r="BK10" s="137">
        <f>'План продаж'!BL27</f>
        <v>4567.6751248687106</v>
      </c>
      <c r="BL10" s="137">
        <f>'План продаж'!BM27</f>
        <v>12336.423895274622</v>
      </c>
      <c r="BM10" s="137">
        <f>'План продаж'!BN27</f>
        <v>6099.501708571629</v>
      </c>
      <c r="BN10" s="137">
        <f>'План продаж'!BO27</f>
        <v>4433.6899878725626</v>
      </c>
      <c r="BO10" s="137">
        <f>'План продаж'!BP27</f>
        <v>6099.501708571629</v>
      </c>
      <c r="BP10" s="137">
        <f>'План продаж'!BQ27</f>
        <v>4750.3821298634593</v>
      </c>
      <c r="BQ10" s="137">
        <f>'План продаж'!BR27</f>
        <v>8848.1936904038648</v>
      </c>
      <c r="BR10" s="137">
        <f>'План продаж'!BS27</f>
        <v>10275.321704985137</v>
      </c>
      <c r="BS10" s="137">
        <f>'План продаж'!BT27</f>
        <v>12387.471166565414</v>
      </c>
      <c r="BT10" s="137">
        <f>'План продаж'!BU27</f>
        <v>11502.65179752503</v>
      </c>
      <c r="BU10" s="137">
        <f>'План продаж'!BV27</f>
        <v>8562.768087487615</v>
      </c>
      <c r="BV10" s="137">
        <f>'План продаж'!BW27</f>
        <v>7243.1582789288077</v>
      </c>
      <c r="BW10" s="137">
        <f>'План продаж'!BX27</f>
        <v>4750.3821298634593</v>
      </c>
      <c r="BX10" s="137">
        <f>'План продаж'!BY27</f>
        <v>12829.880851085607</v>
      </c>
    </row>
    <row r="11" spans="1:76" x14ac:dyDescent="0.25">
      <c r="A11" s="157" t="s">
        <v>104</v>
      </c>
      <c r="B11" s="137">
        <f>Расходы!B35</f>
        <v>123.791</v>
      </c>
      <c r="C11" s="137">
        <f>Расходы!C35</f>
        <v>123.791</v>
      </c>
      <c r="D11" s="137">
        <f>Расходы!D35</f>
        <v>123.791</v>
      </c>
      <c r="E11" s="137">
        <f>Расходы!E35</f>
        <v>128.74263999999999</v>
      </c>
      <c r="F11" s="137">
        <f>Расходы!F35</f>
        <v>128.74263999999999</v>
      </c>
      <c r="G11" s="137">
        <f>Расходы!G35</f>
        <v>128.74263999999999</v>
      </c>
      <c r="H11" s="137">
        <f>Расходы!H35</f>
        <v>128.74263999999999</v>
      </c>
      <c r="I11" s="137">
        <f>Расходы!I35</f>
        <v>128.74263999999999</v>
      </c>
      <c r="J11" s="137">
        <f>Расходы!J35</f>
        <v>380.33943999999997</v>
      </c>
      <c r="K11" s="137">
        <f>Расходы!K35</f>
        <v>2760.7344817814546</v>
      </c>
      <c r="L11" s="137">
        <f>Расходы!L35</f>
        <v>3158.0680588600198</v>
      </c>
      <c r="M11" s="137">
        <f>Расходы!M35</f>
        <v>2968.7554891426794</v>
      </c>
      <c r="N11" s="137">
        <f>Расходы!N35</f>
        <v>3019.3132002286357</v>
      </c>
      <c r="O11" s="137">
        <f>Расходы!O35</f>
        <v>2817.4591320802238</v>
      </c>
      <c r="P11" s="137">
        <f>Расходы!P35</f>
        <v>3675.6441475382762</v>
      </c>
      <c r="Q11" s="137">
        <f>Расходы!Q35</f>
        <v>3138.8690450615386</v>
      </c>
      <c r="R11" s="137">
        <f>Расходы!R35</f>
        <v>2988.3243937376169</v>
      </c>
      <c r="S11" s="137">
        <f>Расходы!S35</f>
        <v>3253.2807152998348</v>
      </c>
      <c r="T11" s="137">
        <f>Расходы!T35</f>
        <v>3140.8079856996428</v>
      </c>
      <c r="U11" s="137">
        <f>Расходы!U35</f>
        <v>3659.1070950284084</v>
      </c>
      <c r="V11" s="137">
        <f>Расходы!V35</f>
        <v>3893.0418507416598</v>
      </c>
      <c r="W11" s="137">
        <f>Расходы!W35</f>
        <v>4239.7823004511483</v>
      </c>
      <c r="X11" s="137">
        <f>Расходы!X35</f>
        <v>4092.9978389271018</v>
      </c>
      <c r="Y11" s="137">
        <f>Расходы!Y35</f>
        <v>3607.7962954143441</v>
      </c>
      <c r="Z11" s="137">
        <f>Расходы!Z35</f>
        <v>3580.8678837612988</v>
      </c>
      <c r="AA11" s="137">
        <f>Расходы!AA35</f>
        <v>3182.6207293706402</v>
      </c>
      <c r="AB11" s="137">
        <f>Расходы!AB35</f>
        <v>4307.2504439291788</v>
      </c>
      <c r="AC11" s="137">
        <f>Расходы!AC35</f>
        <v>3463.3152989693117</v>
      </c>
      <c r="AD11" s="137">
        <f>Расходы!AD35</f>
        <v>3208.0493617188822</v>
      </c>
      <c r="AE11" s="137">
        <f>Расходы!AE35</f>
        <v>3461.1610854114952</v>
      </c>
      <c r="AF11" s="137">
        <f>Расходы!AF35</f>
        <v>3274.330602518784</v>
      </c>
      <c r="AG11" s="137">
        <f>Расходы!AG35</f>
        <v>3762.0781697235684</v>
      </c>
      <c r="AH11" s="137">
        <f>Расходы!AH35</f>
        <v>4005.4133999365067</v>
      </c>
      <c r="AI11" s="137">
        <f>Расходы!AI35</f>
        <v>4366.0665519055328</v>
      </c>
      <c r="AJ11" s="137">
        <f>Расходы!AJ35</f>
        <v>4213.4537961916794</v>
      </c>
      <c r="AK11" s="137">
        <f>Расходы!AK35</f>
        <v>3708.8872752095676</v>
      </c>
      <c r="AL11" s="137">
        <f>Расходы!AL35</f>
        <v>3680.9248113615563</v>
      </c>
      <c r="AM11" s="137">
        <f>Расходы!AM35</f>
        <v>3266.7908550664279</v>
      </c>
      <c r="AN11" s="137">
        <f>Расходы!AN35</f>
        <v>4436.4488424784649</v>
      </c>
      <c r="AO11" s="137">
        <f>Расходы!AO35</f>
        <v>3558.7993759913579</v>
      </c>
      <c r="AP11" s="137">
        <f>Расходы!AP35</f>
        <v>3293.3658855220688</v>
      </c>
      <c r="AQ11" s="137">
        <f>Расходы!AQ35</f>
        <v>3556.6451624335423</v>
      </c>
      <c r="AR11" s="137">
        <f>Расходы!AR35</f>
        <v>3362.3845444962785</v>
      </c>
      <c r="AS11" s="137">
        <f>Расходы!AS35</f>
        <v>3869.6850986604113</v>
      </c>
      <c r="AT11" s="137">
        <f>Расходы!AT35</f>
        <v>4122.7968223530243</v>
      </c>
      <c r="AU11" s="137">
        <f>Расходы!AU35</f>
        <v>4497.9191846719659</v>
      </c>
      <c r="AV11" s="137">
        <f>Расходы!AV35</f>
        <v>4339.2450030007167</v>
      </c>
      <c r="AW11" s="137">
        <f>Расходы!AW35</f>
        <v>3814.5389054504758</v>
      </c>
      <c r="AX11" s="137">
        <f>Расходы!AX35</f>
        <v>3785.5010273197004</v>
      </c>
      <c r="AY11" s="137">
        <f>Расходы!AY35</f>
        <v>3354.8447970439233</v>
      </c>
      <c r="AZ11" s="137">
        <f>Расходы!AZ35</f>
        <v>4571.3321882235978</v>
      </c>
      <c r="BA11" s="137">
        <f>Расходы!BA35</f>
        <v>3658.6198273481637</v>
      </c>
      <c r="BB11" s="137">
        <f>Расходы!BB35</f>
        <v>3382.6120815312588</v>
      </c>
      <c r="BC11" s="137">
        <f>Расходы!BC35</f>
        <v>3656.4656137903476</v>
      </c>
      <c r="BD11" s="137">
        <f>Расходы!BD35</f>
        <v>3454.4776554067503</v>
      </c>
      <c r="BE11" s="137">
        <f>Расходы!BE35</f>
        <v>3982.1133160086042</v>
      </c>
      <c r="BF11" s="137">
        <f>Расходы!BF35</f>
        <v>4245.3925929200777</v>
      </c>
      <c r="BG11" s="137">
        <f>Расходы!BG35</f>
        <v>4635.5629340029336</v>
      </c>
      <c r="BH11" s="137">
        <f>Расходы!BH35</f>
        <v>4470.5848693359894</v>
      </c>
      <c r="BI11" s="137">
        <f>Расходы!BI35</f>
        <v>3924.9336121548963</v>
      </c>
      <c r="BJ11" s="137">
        <f>Расходы!BJ35</f>
        <v>3894.7773031700463</v>
      </c>
      <c r="BK11" s="137">
        <f>Расходы!BK35</f>
        <v>3446.9379079543942</v>
      </c>
      <c r="BL11" s="137">
        <f>Расходы!BL35</f>
        <v>4712.127879052412</v>
      </c>
      <c r="BM11" s="137">
        <f>Расходы!BM35</f>
        <v>3762.9501080131163</v>
      </c>
      <c r="BN11" s="137">
        <f>Расходы!BN35</f>
        <v>3475.9451366346921</v>
      </c>
      <c r="BO11" s="137">
        <f>Расходы!BO35</f>
        <v>3760.7958944553002</v>
      </c>
      <c r="BP11" s="137">
        <f>Расходы!BP35</f>
        <v>3550.7715020075148</v>
      </c>
      <c r="BQ11" s="137">
        <f>Расходы!BQ35</f>
        <v>4099.5556733045996</v>
      </c>
      <c r="BR11" s="137">
        <f>Расходы!BR35</f>
        <v>4373.4092055636884</v>
      </c>
      <c r="BS11" s="137">
        <f>Расходы!BS35</f>
        <v>4755.9350001165712</v>
      </c>
      <c r="BT11" s="137">
        <f>Расходы!BT35</f>
        <v>4584.4397860229947</v>
      </c>
      <c r="BU11" s="137">
        <f>Расходы!BU35</f>
        <v>4017.0444517147025</v>
      </c>
      <c r="BV11" s="137">
        <f>Расходы!BV35</f>
        <v>3985.7638635305038</v>
      </c>
      <c r="BW11" s="137">
        <f>Расходы!BW35</f>
        <v>3520.0928656662709</v>
      </c>
      <c r="BX11" s="137">
        <f>Расходы!BX35</f>
        <v>4835.9724087682544</v>
      </c>
    </row>
    <row r="12" spans="1:76" x14ac:dyDescent="0.25">
      <c r="A12" s="144" t="s">
        <v>105</v>
      </c>
      <c r="B12" s="139">
        <f t="shared" ref="B12:V12" si="0">B10-B11</f>
        <v>-123.791</v>
      </c>
      <c r="C12" s="139">
        <f t="shared" si="0"/>
        <v>-123.791</v>
      </c>
      <c r="D12" s="139">
        <f t="shared" si="0"/>
        <v>-123.791</v>
      </c>
      <c r="E12" s="139">
        <f t="shared" si="0"/>
        <v>-128.74263999999999</v>
      </c>
      <c r="F12" s="139">
        <f t="shared" si="0"/>
        <v>-128.74263999999999</v>
      </c>
      <c r="G12" s="139">
        <f t="shared" si="0"/>
        <v>-128.74263999999999</v>
      </c>
      <c r="H12" s="139">
        <f t="shared" si="0"/>
        <v>-128.74263999999999</v>
      </c>
      <c r="I12" s="139">
        <f t="shared" si="0"/>
        <v>-128.74263999999999</v>
      </c>
      <c r="J12" s="139">
        <f t="shared" si="0"/>
        <v>-380.33943999999997</v>
      </c>
      <c r="K12" s="139">
        <f t="shared" si="0"/>
        <v>2330.0646862185449</v>
      </c>
      <c r="L12" s="139">
        <f t="shared" si="0"/>
        <v>2041.8196627399811</v>
      </c>
      <c r="M12" s="139">
        <f t="shared" si="0"/>
        <v>1254.0272308573217</v>
      </c>
      <c r="N12" s="139">
        <f t="shared" si="0"/>
        <v>850.36308297136475</v>
      </c>
      <c r="O12" s="139">
        <f t="shared" si="0"/>
        <v>-84.331644080223668</v>
      </c>
      <c r="P12" s="139">
        <f t="shared" si="0"/>
        <v>4233.2759884617262</v>
      </c>
      <c r="Q12" s="139">
        <f t="shared" si="0"/>
        <v>1032.2346538824631</v>
      </c>
      <c r="R12" s="139">
        <f t="shared" si="0"/>
        <v>233.12187211838454</v>
      </c>
      <c r="S12" s="139">
        <f t="shared" si="0"/>
        <v>1439.2109460121683</v>
      </c>
      <c r="T12" s="139">
        <f t="shared" si="0"/>
        <v>716.80624022035909</v>
      </c>
      <c r="U12" s="139">
        <f t="shared" si="0"/>
        <v>3904.3659545715964</v>
      </c>
      <c r="V12" s="139">
        <f t="shared" si="0"/>
        <v>4890.3462068583412</v>
      </c>
      <c r="W12" s="139">
        <f t="shared" ref="W12:AP12" si="1">W10-W11</f>
        <v>6349.0799689888536</v>
      </c>
      <c r="X12" s="139">
        <f t="shared" si="1"/>
        <v>5739.5171255529003</v>
      </c>
      <c r="Y12" s="139">
        <f t="shared" si="1"/>
        <v>3711.6937525856565</v>
      </c>
      <c r="Z12" s="139">
        <f t="shared" si="1"/>
        <v>2610.6141693587015</v>
      </c>
      <c r="AA12" s="139">
        <f t="shared" si="1"/>
        <v>878.02582422935984</v>
      </c>
      <c r="AB12" s="139">
        <f t="shared" si="1"/>
        <v>6659.785477990823</v>
      </c>
      <c r="AC12" s="139">
        <f t="shared" si="1"/>
        <v>1959.1195096578886</v>
      </c>
      <c r="AD12" s="139">
        <f t="shared" si="1"/>
        <v>733.4848929755176</v>
      </c>
      <c r="AE12" s="139">
        <f t="shared" si="1"/>
        <v>1961.2737232157051</v>
      </c>
      <c r="AF12" s="139">
        <f t="shared" si="1"/>
        <v>948.74181322521599</v>
      </c>
      <c r="AG12" s="139">
        <f t="shared" si="1"/>
        <v>4103.9338018604321</v>
      </c>
      <c r="AH12" s="139">
        <f t="shared" si="1"/>
        <v>5129.310179967496</v>
      </c>
      <c r="AI12" s="139">
        <f t="shared" si="1"/>
        <v>6646.3502083120675</v>
      </c>
      <c r="AJ12" s="139">
        <f t="shared" si="1"/>
        <v>6012.3617668675215</v>
      </c>
      <c r="AK12" s="139">
        <f t="shared" si="1"/>
        <v>3903.3823747104334</v>
      </c>
      <c r="AL12" s="139">
        <f t="shared" si="1"/>
        <v>2758.2165238832436</v>
      </c>
      <c r="AM12" s="139">
        <f t="shared" si="1"/>
        <v>956.28156067757209</v>
      </c>
      <c r="AN12" s="139">
        <f t="shared" si="1"/>
        <v>6969.268516318336</v>
      </c>
      <c r="AO12" s="139">
        <f t="shared" si="1"/>
        <v>2080.5328249809318</v>
      </c>
      <c r="AP12" s="139">
        <f t="shared" si="1"/>
        <v>805.82973936010831</v>
      </c>
      <c r="AQ12" s="139">
        <f t="shared" ref="AQ12:BI12" si="2">AQ10-AQ11</f>
        <v>2082.6870385387474</v>
      </c>
      <c r="AR12" s="139">
        <f t="shared" si="2"/>
        <v>1029.6107678774811</v>
      </c>
      <c r="AS12" s="139">
        <f t="shared" si="2"/>
        <v>4310.9673517869505</v>
      </c>
      <c r="AT12" s="139">
        <f t="shared" si="2"/>
        <v>5377.3157007471382</v>
      </c>
      <c r="AU12" s="139">
        <f t="shared" si="2"/>
        <v>6954.9942459543399</v>
      </c>
      <c r="AV12" s="139">
        <f t="shared" si="2"/>
        <v>6295.603182580855</v>
      </c>
      <c r="AW12" s="139">
        <f t="shared" si="2"/>
        <v>4102.221530466325</v>
      </c>
      <c r="AX12" s="139">
        <f t="shared" si="2"/>
        <v>2911.2059613348929</v>
      </c>
      <c r="AY12" s="139">
        <f t="shared" si="2"/>
        <v>1037.1505153298363</v>
      </c>
      <c r="AZ12" s="139">
        <f t="shared" si="2"/>
        <v>7290.6138649250752</v>
      </c>
      <c r="BA12" s="139">
        <f t="shared" si="2"/>
        <v>2206.2856616630183</v>
      </c>
      <c r="BB12" s="139">
        <f t="shared" si="2"/>
        <v>880.55136834620498</v>
      </c>
      <c r="BC12" s="139">
        <f t="shared" si="2"/>
        <v>2208.4398752208344</v>
      </c>
      <c r="BD12" s="139">
        <f t="shared" si="2"/>
        <v>1113.1974694619603</v>
      </c>
      <c r="BE12" s="139">
        <f t="shared" si="2"/>
        <v>4525.7652324566516</v>
      </c>
      <c r="BF12" s="139">
        <f t="shared" si="2"/>
        <v>5634.7244311040904</v>
      </c>
      <c r="BG12" s="139">
        <f t="shared" si="2"/>
        <v>7275.4670338484248</v>
      </c>
      <c r="BH12" s="139">
        <f t="shared" si="2"/>
        <v>6589.6572436688457</v>
      </c>
      <c r="BI12" s="139">
        <f t="shared" si="2"/>
        <v>4308.4972411985782</v>
      </c>
      <c r="BJ12" s="139">
        <f t="shared" ref="BJ12:BW12" si="3">BJ10-BJ11</f>
        <v>3069.7979650307298</v>
      </c>
      <c r="BK12" s="139">
        <f t="shared" si="3"/>
        <v>1120.7372169143164</v>
      </c>
      <c r="BL12" s="139">
        <f t="shared" si="3"/>
        <v>7624.2960162222098</v>
      </c>
      <c r="BM12" s="139">
        <f t="shared" si="3"/>
        <v>2336.5516005585127</v>
      </c>
      <c r="BN12" s="139">
        <f t="shared" si="3"/>
        <v>957.74485123787053</v>
      </c>
      <c r="BO12" s="139">
        <f t="shared" si="3"/>
        <v>2338.7058141163288</v>
      </c>
      <c r="BP12" s="139">
        <f t="shared" si="3"/>
        <v>1199.6106278559446</v>
      </c>
      <c r="BQ12" s="139">
        <f t="shared" si="3"/>
        <v>4748.6380170992652</v>
      </c>
      <c r="BR12" s="139">
        <f t="shared" si="3"/>
        <v>5901.912499421449</v>
      </c>
      <c r="BS12" s="139">
        <f t="shared" si="3"/>
        <v>7631.5361664488428</v>
      </c>
      <c r="BT12" s="139">
        <f t="shared" si="3"/>
        <v>6918.2120115020352</v>
      </c>
      <c r="BU12" s="139">
        <f t="shared" si="3"/>
        <v>4545.7236357729125</v>
      </c>
      <c r="BV12" s="139">
        <f t="shared" si="3"/>
        <v>3257.3944153983039</v>
      </c>
      <c r="BW12" s="139">
        <f t="shared" si="3"/>
        <v>1230.2892641971885</v>
      </c>
      <c r="BX12" s="139">
        <f t="shared" ref="BX12" si="4">BX10-BX11</f>
        <v>7993.9084423173526</v>
      </c>
    </row>
    <row r="13" spans="1:76" x14ac:dyDescent="0.25">
      <c r="A13" s="164" t="s">
        <v>110</v>
      </c>
      <c r="B13" s="165" t="str">
        <f t="shared" ref="B13:V13" si="5">IF(B10=0,"-",B12/B10)</f>
        <v>-</v>
      </c>
      <c r="C13" s="165" t="str">
        <f t="shared" si="5"/>
        <v>-</v>
      </c>
      <c r="D13" s="165" t="str">
        <f t="shared" si="5"/>
        <v>-</v>
      </c>
      <c r="E13" s="165" t="str">
        <f t="shared" si="5"/>
        <v>-</v>
      </c>
      <c r="F13" s="165" t="str">
        <f t="shared" si="5"/>
        <v>-</v>
      </c>
      <c r="G13" s="165" t="str">
        <f t="shared" si="5"/>
        <v>-</v>
      </c>
      <c r="H13" s="165" t="str">
        <f t="shared" si="5"/>
        <v>-</v>
      </c>
      <c r="I13" s="165" t="str">
        <f t="shared" si="5"/>
        <v>-</v>
      </c>
      <c r="J13" s="165" t="str">
        <f t="shared" si="5"/>
        <v>-</v>
      </c>
      <c r="K13" s="165">
        <f t="shared" si="5"/>
        <v>0.45770116033352526</v>
      </c>
      <c r="L13" s="165">
        <f t="shared" si="5"/>
        <v>0.39266610589655482</v>
      </c>
      <c r="M13" s="165">
        <f t="shared" si="5"/>
        <v>0.29696702719701412</v>
      </c>
      <c r="N13" s="165">
        <f t="shared" si="5"/>
        <v>0.21975044441396097</v>
      </c>
      <c r="O13" s="165">
        <f t="shared" si="5"/>
        <v>-3.0855364212056716E-2</v>
      </c>
      <c r="P13" s="165">
        <f t="shared" si="5"/>
        <v>0.53525334883489395</v>
      </c>
      <c r="Q13" s="165">
        <f t="shared" si="5"/>
        <v>0.24747278619416582</v>
      </c>
      <c r="R13" s="165">
        <f t="shared" si="5"/>
        <v>7.2365593860507713E-2</v>
      </c>
      <c r="S13" s="165">
        <f t="shared" si="5"/>
        <v>0.30670506202024239</v>
      </c>
      <c r="T13" s="165">
        <f t="shared" si="5"/>
        <v>0.18581594691454872</v>
      </c>
      <c r="U13" s="165">
        <f t="shared" si="5"/>
        <v>0.51621337564997061</v>
      </c>
      <c r="V13" s="165">
        <f t="shared" si="5"/>
        <v>0.55677219027421565</v>
      </c>
      <c r="W13" s="165">
        <f t="shared" ref="W13:AP13" si="6">IF(W10=0,"-",W12/W10)</f>
        <v>0.59959982549897006</v>
      </c>
      <c r="X13" s="165">
        <f t="shared" si="6"/>
        <v>0.58372828785788045</v>
      </c>
      <c r="Y13" s="165">
        <f t="shared" si="6"/>
        <v>0.50709731528357649</v>
      </c>
      <c r="Z13" s="165">
        <f t="shared" si="6"/>
        <v>0.42164608521204799</v>
      </c>
      <c r="AA13" s="165">
        <f t="shared" si="6"/>
        <v>0.21622808403527236</v>
      </c>
      <c r="AB13" s="165">
        <f t="shared" si="6"/>
        <v>0.60725482485926718</v>
      </c>
      <c r="AC13" s="165">
        <f t="shared" si="6"/>
        <v>0.36129885905514086</v>
      </c>
      <c r="AD13" s="165">
        <f t="shared" si="6"/>
        <v>0.18609121361863873</v>
      </c>
      <c r="AE13" s="165">
        <f t="shared" si="6"/>
        <v>0.36169613696328451</v>
      </c>
      <c r="AF13" s="165">
        <f t="shared" si="6"/>
        <v>0.22465677114326049</v>
      </c>
      <c r="AG13" s="165">
        <f t="shared" si="6"/>
        <v>0.52172992066194523</v>
      </c>
      <c r="AH13" s="165">
        <f t="shared" si="6"/>
        <v>0.56151783194094196</v>
      </c>
      <c r="AI13" s="165">
        <f t="shared" si="6"/>
        <v>0.60353239012185178</v>
      </c>
      <c r="AJ13" s="165">
        <f t="shared" si="6"/>
        <v>0.58795914416716077</v>
      </c>
      <c r="AK13" s="165">
        <f t="shared" si="6"/>
        <v>0.51277510574674068</v>
      </c>
      <c r="AL13" s="165">
        <f t="shared" si="6"/>
        <v>0.4283516047063724</v>
      </c>
      <c r="AM13" s="165">
        <f t="shared" si="6"/>
        <v>0.22644214129799597</v>
      </c>
      <c r="AN13" s="165">
        <f t="shared" si="6"/>
        <v>0.61103289666767002</v>
      </c>
      <c r="AO13" s="165">
        <f t="shared" si="6"/>
        <v>0.36893248186766203</v>
      </c>
      <c r="AP13" s="165">
        <f t="shared" si="6"/>
        <v>0.19658240618444997</v>
      </c>
      <c r="AQ13" s="165">
        <f t="shared" ref="AQ13:BI13" si="7">IF(AQ10=0,"-",AQ12/AQ10)</f>
        <v>0.36931447985626148</v>
      </c>
      <c r="AR13" s="165">
        <f t="shared" si="7"/>
        <v>0.23442893141910098</v>
      </c>
      <c r="AS13" s="165">
        <f t="shared" si="7"/>
        <v>0.5269710915968816</v>
      </c>
      <c r="AT13" s="165">
        <f t="shared" si="7"/>
        <v>0.56602652733552716</v>
      </c>
      <c r="AU13" s="165">
        <f t="shared" si="7"/>
        <v>0.60726855992431994</v>
      </c>
      <c r="AV13" s="165">
        <f t="shared" si="7"/>
        <v>0.59197866041155689</v>
      </c>
      <c r="AW13" s="165">
        <f t="shared" si="7"/>
        <v>0.51816921374244751</v>
      </c>
      <c r="AX13" s="165">
        <f t="shared" si="7"/>
        <v>0.43472201580074971</v>
      </c>
      <c r="AY13" s="165">
        <f t="shared" si="7"/>
        <v>0.23614563349096182</v>
      </c>
      <c r="AZ13" s="165">
        <f t="shared" si="7"/>
        <v>0.61462207231922383</v>
      </c>
      <c r="BA13" s="165">
        <f t="shared" si="7"/>
        <v>0.37618435042079362</v>
      </c>
      <c r="BB13" s="165">
        <f t="shared" si="7"/>
        <v>0.20654881725717431</v>
      </c>
      <c r="BC13" s="165">
        <f t="shared" si="7"/>
        <v>0.37655165617906239</v>
      </c>
      <c r="BD13" s="165">
        <f t="shared" si="7"/>
        <v>0.24371205022904449</v>
      </c>
      <c r="BE13" s="165">
        <f t="shared" si="7"/>
        <v>0.5319499105065455</v>
      </c>
      <c r="BF13" s="165">
        <f t="shared" si="7"/>
        <v>0.57030948291430961</v>
      </c>
      <c r="BG13" s="165">
        <f t="shared" si="7"/>
        <v>0.610817624796964</v>
      </c>
      <c r="BH13" s="165">
        <f t="shared" si="7"/>
        <v>0.59579683485595725</v>
      </c>
      <c r="BI13" s="165">
        <f t="shared" si="7"/>
        <v>0.52329306190064473</v>
      </c>
      <c r="BJ13" s="165">
        <f t="shared" ref="BJ13:BW13" si="8">IF(BJ10=0,"-",BJ12/BJ10)</f>
        <v>0.44077317665687021</v>
      </c>
      <c r="BK13" s="165">
        <f t="shared" si="8"/>
        <v>0.24536272529814168</v>
      </c>
      <c r="BL13" s="165">
        <f t="shared" si="8"/>
        <v>0.61803129342391039</v>
      </c>
      <c r="BM13" s="165">
        <f t="shared" si="8"/>
        <v>0.38307253808535818</v>
      </c>
      <c r="BN13" s="165">
        <f t="shared" si="8"/>
        <v>0.21601529512834286</v>
      </c>
      <c r="BO13" s="165">
        <f t="shared" si="8"/>
        <v>0.38342571669907821</v>
      </c>
      <c r="BP13" s="165">
        <f t="shared" si="8"/>
        <v>0.25252929028899518</v>
      </c>
      <c r="BQ13" s="165">
        <f t="shared" si="8"/>
        <v>0.53667880510451615</v>
      </c>
      <c r="BR13" s="165">
        <f t="shared" si="8"/>
        <v>0.57437739361076146</v>
      </c>
      <c r="BS13" s="165">
        <f t="shared" si="8"/>
        <v>0.61606893479977198</v>
      </c>
      <c r="BT13" s="165">
        <f t="shared" si="8"/>
        <v>0.60144496532448222</v>
      </c>
      <c r="BU13" s="165">
        <f t="shared" si="8"/>
        <v>0.5308708106220198</v>
      </c>
      <c r="BV13" s="165">
        <f t="shared" si="8"/>
        <v>0.44972017591751989</v>
      </c>
      <c r="BW13" s="165">
        <f t="shared" si="8"/>
        <v>0.25898743102432281</v>
      </c>
      <c r="BX13" s="165">
        <f t="shared" ref="BX13" si="9">IF(BX10=0,"-",BX12/BX10)</f>
        <v>0.62306957758231585</v>
      </c>
    </row>
    <row r="14" spans="1:76" s="20" customFormat="1" x14ac:dyDescent="0.25">
      <c r="A14" s="166" t="s">
        <v>74</v>
      </c>
      <c r="B14" s="167">
        <v>0</v>
      </c>
      <c r="C14" s="167">
        <v>0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0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0</v>
      </c>
      <c r="P14" s="167">
        <v>0</v>
      </c>
      <c r="Q14" s="167">
        <v>0</v>
      </c>
      <c r="R14" s="167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0</v>
      </c>
      <c r="Y14" s="167">
        <v>0</v>
      </c>
      <c r="Z14" s="167">
        <v>0</v>
      </c>
      <c r="AA14" s="167">
        <v>0</v>
      </c>
      <c r="AB14" s="167">
        <v>0</v>
      </c>
      <c r="AC14" s="167">
        <v>0</v>
      </c>
      <c r="AD14" s="167">
        <v>0</v>
      </c>
      <c r="AE14" s="167">
        <v>0</v>
      </c>
      <c r="AF14" s="167">
        <v>0</v>
      </c>
      <c r="AG14" s="167">
        <v>0</v>
      </c>
      <c r="AH14" s="167">
        <v>0</v>
      </c>
      <c r="AI14" s="167">
        <v>0</v>
      </c>
      <c r="AJ14" s="167">
        <v>0</v>
      </c>
      <c r="AK14" s="167">
        <v>0</v>
      </c>
      <c r="AL14" s="167">
        <v>0</v>
      </c>
      <c r="AM14" s="167">
        <v>0</v>
      </c>
      <c r="AN14" s="167">
        <v>0</v>
      </c>
      <c r="AO14" s="167">
        <v>0</v>
      </c>
      <c r="AP14" s="167">
        <v>0</v>
      </c>
      <c r="AQ14" s="167">
        <v>0</v>
      </c>
      <c r="AR14" s="167">
        <v>0</v>
      </c>
      <c r="AS14" s="167">
        <v>0</v>
      </c>
      <c r="AT14" s="167">
        <v>0</v>
      </c>
      <c r="AU14" s="167">
        <v>0</v>
      </c>
      <c r="AV14" s="167">
        <v>0</v>
      </c>
      <c r="AW14" s="167">
        <v>0</v>
      </c>
      <c r="AX14" s="167">
        <v>0</v>
      </c>
      <c r="AY14" s="167">
        <v>0</v>
      </c>
      <c r="AZ14" s="167">
        <v>0</v>
      </c>
      <c r="BA14" s="167">
        <v>0</v>
      </c>
      <c r="BB14" s="167">
        <v>0</v>
      </c>
      <c r="BC14" s="167">
        <v>0</v>
      </c>
      <c r="BD14" s="167">
        <v>0</v>
      </c>
      <c r="BE14" s="167">
        <v>0</v>
      </c>
      <c r="BF14" s="167">
        <v>0</v>
      </c>
      <c r="BG14" s="167">
        <v>0</v>
      </c>
      <c r="BH14" s="167">
        <v>0</v>
      </c>
      <c r="BI14" s="167">
        <v>0</v>
      </c>
      <c r="BJ14" s="167">
        <v>0</v>
      </c>
      <c r="BK14" s="167">
        <v>0</v>
      </c>
      <c r="BL14" s="167">
        <v>0</v>
      </c>
      <c r="BM14" s="167">
        <v>0</v>
      </c>
      <c r="BN14" s="167">
        <v>0</v>
      </c>
      <c r="BO14" s="167">
        <v>0</v>
      </c>
      <c r="BP14" s="167">
        <v>0</v>
      </c>
      <c r="BQ14" s="167">
        <v>0</v>
      </c>
      <c r="BR14" s="167">
        <v>0</v>
      </c>
      <c r="BS14" s="167">
        <v>0</v>
      </c>
      <c r="BT14" s="167">
        <v>0</v>
      </c>
      <c r="BU14" s="167">
        <v>0</v>
      </c>
      <c r="BV14" s="167">
        <v>0</v>
      </c>
      <c r="BW14" s="167">
        <v>0</v>
      </c>
      <c r="BX14" s="167">
        <v>0</v>
      </c>
    </row>
    <row r="15" spans="1:76" s="20" customFormat="1" x14ac:dyDescent="0.25">
      <c r="A15" s="166" t="s">
        <v>67</v>
      </c>
      <c r="B15" s="167">
        <v>0</v>
      </c>
      <c r="C15" s="167">
        <v>0</v>
      </c>
      <c r="D15" s="167">
        <v>0</v>
      </c>
      <c r="E15" s="167">
        <v>0</v>
      </c>
      <c r="F15" s="167">
        <v>0</v>
      </c>
      <c r="G15" s="167">
        <v>0</v>
      </c>
      <c r="H15" s="167">
        <v>0</v>
      </c>
      <c r="I15" s="167">
        <v>0</v>
      </c>
      <c r="J15" s="167">
        <v>0</v>
      </c>
      <c r="K15" s="167">
        <v>0</v>
      </c>
      <c r="L15" s="167">
        <v>0</v>
      </c>
      <c r="M15" s="167">
        <v>0</v>
      </c>
      <c r="N15" s="167">
        <v>0</v>
      </c>
      <c r="O15" s="167">
        <v>0</v>
      </c>
      <c r="P15" s="167">
        <v>0</v>
      </c>
      <c r="Q15" s="167">
        <v>0</v>
      </c>
      <c r="R15" s="167">
        <v>0</v>
      </c>
      <c r="S15" s="167">
        <v>0</v>
      </c>
      <c r="T15" s="167">
        <v>0</v>
      </c>
      <c r="U15" s="167">
        <v>0</v>
      </c>
      <c r="V15" s="167">
        <v>0</v>
      </c>
      <c r="W15" s="167">
        <v>0</v>
      </c>
      <c r="X15" s="167">
        <v>0</v>
      </c>
      <c r="Y15" s="167">
        <v>0</v>
      </c>
      <c r="Z15" s="167">
        <v>0</v>
      </c>
      <c r="AA15" s="167">
        <v>0</v>
      </c>
      <c r="AB15" s="167">
        <v>0</v>
      </c>
      <c r="AC15" s="167">
        <v>0</v>
      </c>
      <c r="AD15" s="167">
        <v>0</v>
      </c>
      <c r="AE15" s="167">
        <v>0</v>
      </c>
      <c r="AF15" s="167">
        <v>0</v>
      </c>
      <c r="AG15" s="167">
        <v>0</v>
      </c>
      <c r="AH15" s="167">
        <v>0</v>
      </c>
      <c r="AI15" s="167">
        <v>0</v>
      </c>
      <c r="AJ15" s="167">
        <v>0</v>
      </c>
      <c r="AK15" s="167">
        <v>0</v>
      </c>
      <c r="AL15" s="167">
        <v>0</v>
      </c>
      <c r="AM15" s="167">
        <v>0</v>
      </c>
      <c r="AN15" s="167">
        <v>0</v>
      </c>
      <c r="AO15" s="167">
        <v>0</v>
      </c>
      <c r="AP15" s="167">
        <v>0</v>
      </c>
      <c r="AQ15" s="167">
        <v>0</v>
      </c>
      <c r="AR15" s="167">
        <v>0</v>
      </c>
      <c r="AS15" s="167">
        <v>0</v>
      </c>
      <c r="AT15" s="167">
        <v>0</v>
      </c>
      <c r="AU15" s="167">
        <v>0</v>
      </c>
      <c r="AV15" s="167">
        <v>0</v>
      </c>
      <c r="AW15" s="167">
        <v>0</v>
      </c>
      <c r="AX15" s="167">
        <v>0</v>
      </c>
      <c r="AY15" s="167">
        <v>0</v>
      </c>
      <c r="AZ15" s="167">
        <v>0</v>
      </c>
      <c r="BA15" s="167">
        <v>0</v>
      </c>
      <c r="BB15" s="167">
        <v>0</v>
      </c>
      <c r="BC15" s="167">
        <v>0</v>
      </c>
      <c r="BD15" s="167">
        <v>0</v>
      </c>
      <c r="BE15" s="167">
        <v>0</v>
      </c>
      <c r="BF15" s="167">
        <v>0</v>
      </c>
      <c r="BG15" s="167">
        <v>0</v>
      </c>
      <c r="BH15" s="167">
        <v>0</v>
      </c>
      <c r="BI15" s="167">
        <v>0</v>
      </c>
      <c r="BJ15" s="167">
        <v>0</v>
      </c>
      <c r="BK15" s="167">
        <v>0</v>
      </c>
      <c r="BL15" s="167">
        <v>0</v>
      </c>
      <c r="BM15" s="167">
        <v>0</v>
      </c>
      <c r="BN15" s="167">
        <v>0</v>
      </c>
      <c r="BO15" s="167">
        <v>0</v>
      </c>
      <c r="BP15" s="167">
        <v>0</v>
      </c>
      <c r="BQ15" s="167">
        <v>0</v>
      </c>
      <c r="BR15" s="167">
        <v>0</v>
      </c>
      <c r="BS15" s="167">
        <v>0</v>
      </c>
      <c r="BT15" s="167">
        <v>0</v>
      </c>
      <c r="BU15" s="167">
        <v>0</v>
      </c>
      <c r="BV15" s="167">
        <v>0</v>
      </c>
      <c r="BW15" s="167">
        <v>0</v>
      </c>
      <c r="BX15" s="167">
        <v>0</v>
      </c>
    </row>
    <row r="16" spans="1:76" x14ac:dyDescent="0.25">
      <c r="A16" s="157" t="s">
        <v>93</v>
      </c>
      <c r="B16" s="137">
        <f>Займы!B13+Займы!B20</f>
        <v>0</v>
      </c>
      <c r="C16" s="137">
        <f>Займы!C13+Займы!C20</f>
        <v>0</v>
      </c>
      <c r="D16" s="137">
        <f>Займы!D13+Займы!D20</f>
        <v>0</v>
      </c>
      <c r="E16" s="137">
        <f>Займы!E13+Займы!E20</f>
        <v>0</v>
      </c>
      <c r="F16" s="137">
        <f>Займы!F13+Займы!F20</f>
        <v>0</v>
      </c>
      <c r="G16" s="137">
        <f>Займы!G13+Займы!G20</f>
        <v>0</v>
      </c>
      <c r="H16" s="137">
        <f>Займы!H13+Займы!H20</f>
        <v>0</v>
      </c>
      <c r="I16" s="137">
        <f>Займы!I13+Займы!I20</f>
        <v>0</v>
      </c>
      <c r="J16" s="137">
        <f>Займы!J13+Займы!J20</f>
        <v>0</v>
      </c>
      <c r="K16" s="137">
        <f>Займы!K13+Займы!K20</f>
        <v>0</v>
      </c>
      <c r="L16" s="137">
        <f>Займы!L13+Займы!L20</f>
        <v>0</v>
      </c>
      <c r="M16" s="137">
        <f>Займы!M13+Займы!M20</f>
        <v>0</v>
      </c>
      <c r="N16" s="137">
        <f>Займы!N13+Займы!N20</f>
        <v>0</v>
      </c>
      <c r="O16" s="137">
        <f>Займы!O13+Займы!O20</f>
        <v>0</v>
      </c>
      <c r="P16" s="137">
        <f>Займы!P13+Займы!P20</f>
        <v>0</v>
      </c>
      <c r="Q16" s="137">
        <f>Займы!Q13+Займы!Q20</f>
        <v>2641.49719</v>
      </c>
      <c r="R16" s="137">
        <f>Займы!R13+Займы!R20</f>
        <v>103.97318</v>
      </c>
      <c r="S16" s="137">
        <f>Займы!S13+Займы!S20</f>
        <v>91.540629999999993</v>
      </c>
      <c r="T16" s="137">
        <f>Займы!T13+Займы!T20</f>
        <v>98.723939999999999</v>
      </c>
      <c r="U16" s="137">
        <f>Займы!U13+Займы!U20</f>
        <v>92.999339999999989</v>
      </c>
      <c r="V16" s="137">
        <f>Займы!V13+Займы!V20</f>
        <v>93.474700000000013</v>
      </c>
      <c r="W16" s="137">
        <f>Займы!W13+Займы!W20</f>
        <v>87.919420000000002</v>
      </c>
      <c r="X16" s="137">
        <f>Займы!X13+Займы!X20</f>
        <v>88.225449999999995</v>
      </c>
      <c r="Y16" s="137">
        <f>Займы!Y13+Займы!Y20</f>
        <v>85.600830000000002</v>
      </c>
      <c r="Z16" s="137">
        <f>Займы!Z13+Займы!Z20</f>
        <v>80.299549999999996</v>
      </c>
      <c r="AA16" s="137">
        <f>Займы!AA13+Займы!AA20</f>
        <v>80.351590000000002</v>
      </c>
      <c r="AB16" s="137">
        <f>Займы!AB13+Займы!AB20</f>
        <v>75.219639999999998</v>
      </c>
      <c r="AC16" s="137">
        <f>Займы!AC13+Займы!AC20</f>
        <v>75.102339999999998</v>
      </c>
      <c r="AD16" s="137">
        <f>Займы!AD13+Займы!AD20</f>
        <v>72.477720000000005</v>
      </c>
      <c r="AE16" s="137">
        <f>Займы!AE13+Займы!AE20</f>
        <v>63.093119999999999</v>
      </c>
      <c r="AF16" s="137">
        <f>Займы!AF13+Займы!AF20</f>
        <v>67.228470000000002</v>
      </c>
      <c r="AG16" s="137">
        <f>Займы!AG13+Займы!AG20</f>
        <v>62.519850000000005</v>
      </c>
      <c r="AH16" s="137">
        <f>Займы!AH13+Займы!AH20</f>
        <v>61.979230000000001</v>
      </c>
      <c r="AI16" s="137">
        <f>Займы!AI13+Займы!AI20</f>
        <v>57.439939999999993</v>
      </c>
      <c r="AJ16" s="137">
        <f>Займы!AJ13+Займы!AJ20</f>
        <v>56.729990000000001</v>
      </c>
      <c r="AK16" s="137">
        <f>Займы!AK13+Займы!AK20</f>
        <v>54.105360000000005</v>
      </c>
      <c r="AL16" s="137">
        <f>Займы!AL13+Займы!AL20</f>
        <v>49.820070000000001</v>
      </c>
      <c r="AM16" s="137">
        <f>Займы!AM13+Займы!AM20</f>
        <v>48.856120000000004</v>
      </c>
      <c r="AN16" s="137">
        <f>Займы!AN13+Займы!AN20</f>
        <v>44.740160000000003</v>
      </c>
      <c r="AO16" s="137">
        <f>Займы!AO13+Займы!AO20</f>
        <v>43.568440000000002</v>
      </c>
      <c r="AP16" s="137">
        <f>Займы!AP13+Займы!AP20</f>
        <v>40.870280000000001</v>
      </c>
      <c r="AQ16" s="137">
        <f>Займы!AQ13+Займы!AQ20</f>
        <v>35.7849</v>
      </c>
      <c r="AR16" s="137">
        <f>Займы!AR13+Займы!AR20</f>
        <v>35.635379999999998</v>
      </c>
      <c r="AS16" s="137">
        <f>Займы!AS13+Займы!AS20</f>
        <v>31.952829999999999</v>
      </c>
      <c r="AT16" s="137">
        <f>Займы!AT13+Займы!AT20</f>
        <v>30.400469999999999</v>
      </c>
      <c r="AU16" s="137">
        <f>Займы!AU13+Займы!AU20</f>
        <v>26.886789999999998</v>
      </c>
      <c r="AV16" s="137">
        <f>Займы!AV13+Займы!AV20</f>
        <v>25.165570000000002</v>
      </c>
      <c r="AW16" s="137">
        <f>Займы!AW13+Займы!AW20</f>
        <v>22.548119999999997</v>
      </c>
      <c r="AX16" s="137">
        <f>Займы!AX13+Займы!AX20</f>
        <v>19.287739999999999</v>
      </c>
      <c r="AY16" s="137">
        <f>Займы!AY13+Займы!AY20</f>
        <v>17.313220000000001</v>
      </c>
      <c r="AZ16" s="137">
        <f>Займы!AZ13+Займы!AZ20</f>
        <v>14.52383</v>
      </c>
      <c r="BA16" s="137">
        <f>Займы!BA13+Займы!BA20</f>
        <v>11.04744</v>
      </c>
      <c r="BB16" s="137">
        <f>Займы!BB13+Займы!BB20</f>
        <v>9.4867900000000009</v>
      </c>
      <c r="BC16" s="137">
        <f>Займы!BC13+Займы!BC20</f>
        <v>7.1405900000000004</v>
      </c>
      <c r="BD16" s="137">
        <f>Займы!BD13+Займы!BD20</f>
        <v>6.3245200000000006</v>
      </c>
      <c r="BE16" s="137">
        <f>Займы!BE13+Займы!BE20</f>
        <v>4.5903799999999997</v>
      </c>
      <c r="BF16" s="137">
        <f>Займы!BF13+Займы!BF20</f>
        <v>3.1622600000000003</v>
      </c>
      <c r="BG16" s="137">
        <f>Займы!BG13+Займы!BG20</f>
        <v>1.4281199999999998</v>
      </c>
      <c r="BH16" s="137">
        <f>Займы!BH13+Займы!BH20</f>
        <v>0</v>
      </c>
      <c r="BI16" s="137">
        <f>Займы!BI13+Займы!BI20</f>
        <v>0</v>
      </c>
      <c r="BJ16" s="137">
        <f>Займы!BJ13+Займы!BJ20</f>
        <v>0</v>
      </c>
      <c r="BK16" s="137">
        <f>Займы!BK13+Займы!BK20</f>
        <v>0</v>
      </c>
      <c r="BL16" s="137">
        <f>Займы!BL13+Займы!BL20</f>
        <v>0</v>
      </c>
      <c r="BM16" s="137">
        <f>Займы!BM13+Займы!BM20</f>
        <v>0</v>
      </c>
      <c r="BN16" s="137">
        <f>Займы!BN13+Займы!BN20</f>
        <v>0</v>
      </c>
      <c r="BO16" s="137">
        <f>Займы!BO13+Займы!BO20</f>
        <v>0</v>
      </c>
      <c r="BP16" s="137">
        <f>Займы!BP13+Займы!BP20</f>
        <v>0</v>
      </c>
      <c r="BQ16" s="137">
        <f>Займы!BQ13+Займы!BQ20</f>
        <v>0</v>
      </c>
      <c r="BR16" s="137">
        <f>Займы!BR13+Займы!BR20</f>
        <v>0</v>
      </c>
      <c r="BS16" s="137">
        <f>Займы!BS13+Займы!BS20</f>
        <v>0</v>
      </c>
      <c r="BT16" s="137">
        <f>Займы!BT13+Займы!BT20</f>
        <v>0</v>
      </c>
      <c r="BU16" s="137">
        <f>Займы!BU13+Займы!BU20</f>
        <v>0</v>
      </c>
      <c r="BV16" s="137">
        <f>Займы!BV13+Займы!BV20</f>
        <v>0</v>
      </c>
      <c r="BW16" s="137">
        <f>Займы!BW13+Займы!BW20</f>
        <v>0</v>
      </c>
      <c r="BX16" s="137">
        <f>Займы!BX13+Займы!BX20</f>
        <v>0</v>
      </c>
    </row>
    <row r="17" spans="1:76" x14ac:dyDescent="0.25">
      <c r="A17" s="144" t="s">
        <v>106</v>
      </c>
      <c r="B17" s="139">
        <f>B12+B14-B15-B16</f>
        <v>-123.791</v>
      </c>
      <c r="C17" s="139">
        <f t="shared" ref="C17:BI17" si="10">C12+C14-C15-C16</f>
        <v>-123.791</v>
      </c>
      <c r="D17" s="139">
        <f t="shared" si="10"/>
        <v>-123.791</v>
      </c>
      <c r="E17" s="139">
        <f t="shared" si="10"/>
        <v>-128.74263999999999</v>
      </c>
      <c r="F17" s="139">
        <f t="shared" si="10"/>
        <v>-128.74263999999999</v>
      </c>
      <c r="G17" s="139">
        <f t="shared" si="10"/>
        <v>-128.74263999999999</v>
      </c>
      <c r="H17" s="139">
        <f t="shared" si="10"/>
        <v>-128.74263999999999</v>
      </c>
      <c r="I17" s="139">
        <f t="shared" si="10"/>
        <v>-128.74263999999999</v>
      </c>
      <c r="J17" s="139">
        <f t="shared" si="10"/>
        <v>-380.33943999999997</v>
      </c>
      <c r="K17" s="139">
        <f t="shared" si="10"/>
        <v>2330.0646862185449</v>
      </c>
      <c r="L17" s="139">
        <f t="shared" si="10"/>
        <v>2041.8196627399811</v>
      </c>
      <c r="M17" s="139">
        <f t="shared" si="10"/>
        <v>1254.0272308573217</v>
      </c>
      <c r="N17" s="139">
        <f t="shared" si="10"/>
        <v>850.36308297136475</v>
      </c>
      <c r="O17" s="139">
        <f t="shared" si="10"/>
        <v>-84.331644080223668</v>
      </c>
      <c r="P17" s="139">
        <f t="shared" si="10"/>
        <v>4233.2759884617262</v>
      </c>
      <c r="Q17" s="139">
        <f t="shared" si="10"/>
        <v>-1609.2625361175369</v>
      </c>
      <c r="R17" s="139">
        <f t="shared" si="10"/>
        <v>129.14869211838453</v>
      </c>
      <c r="S17" s="139">
        <f t="shared" si="10"/>
        <v>1347.6703160121683</v>
      </c>
      <c r="T17" s="139">
        <f t="shared" si="10"/>
        <v>618.08230022035912</v>
      </c>
      <c r="U17" s="139">
        <f t="shared" si="10"/>
        <v>3811.3666145715965</v>
      </c>
      <c r="V17" s="139">
        <f t="shared" si="10"/>
        <v>4796.8715068583415</v>
      </c>
      <c r="W17" s="139">
        <f t="shared" si="10"/>
        <v>6261.1605489888534</v>
      </c>
      <c r="X17" s="139">
        <f t="shared" si="10"/>
        <v>5651.2916755529004</v>
      </c>
      <c r="Y17" s="139">
        <f t="shared" si="10"/>
        <v>3626.0929225856567</v>
      </c>
      <c r="Z17" s="139">
        <f t="shared" si="10"/>
        <v>2530.3146193587013</v>
      </c>
      <c r="AA17" s="139">
        <f t="shared" si="10"/>
        <v>797.67423422935985</v>
      </c>
      <c r="AB17" s="139">
        <f t="shared" si="10"/>
        <v>6584.5658379908227</v>
      </c>
      <c r="AC17" s="139">
        <f t="shared" si="10"/>
        <v>1884.0171696578886</v>
      </c>
      <c r="AD17" s="139">
        <f t="shared" si="10"/>
        <v>661.00717297551762</v>
      </c>
      <c r="AE17" s="139">
        <f t="shared" si="10"/>
        <v>1898.1806032157051</v>
      </c>
      <c r="AF17" s="139">
        <f t="shared" si="10"/>
        <v>881.51334322521598</v>
      </c>
      <c r="AG17" s="139">
        <f t="shared" si="10"/>
        <v>4041.413951860432</v>
      </c>
      <c r="AH17" s="139">
        <f t="shared" si="10"/>
        <v>5067.3309499674961</v>
      </c>
      <c r="AI17" s="139">
        <f t="shared" si="10"/>
        <v>6588.9102683120673</v>
      </c>
      <c r="AJ17" s="139">
        <f t="shared" si="10"/>
        <v>5955.6317768675217</v>
      </c>
      <c r="AK17" s="139">
        <f t="shared" si="10"/>
        <v>3849.2770147104334</v>
      </c>
      <c r="AL17" s="139">
        <f t="shared" si="10"/>
        <v>2708.3964538832433</v>
      </c>
      <c r="AM17" s="139">
        <f t="shared" si="10"/>
        <v>907.42544067757206</v>
      </c>
      <c r="AN17" s="139">
        <f t="shared" si="10"/>
        <v>6924.5283563183357</v>
      </c>
      <c r="AO17" s="139">
        <f t="shared" si="10"/>
        <v>2036.9643849809318</v>
      </c>
      <c r="AP17" s="139">
        <f t="shared" si="10"/>
        <v>764.95945936010833</v>
      </c>
      <c r="AQ17" s="139">
        <f t="shared" si="10"/>
        <v>2046.9021385387473</v>
      </c>
      <c r="AR17" s="139">
        <f t="shared" si="10"/>
        <v>993.97538787748113</v>
      </c>
      <c r="AS17" s="139">
        <f t="shared" si="10"/>
        <v>4279.0145217869504</v>
      </c>
      <c r="AT17" s="139">
        <f t="shared" si="10"/>
        <v>5346.9152307471386</v>
      </c>
      <c r="AU17" s="139">
        <f t="shared" si="10"/>
        <v>6928.1074559543404</v>
      </c>
      <c r="AV17" s="139">
        <f t="shared" si="10"/>
        <v>6270.4376125808549</v>
      </c>
      <c r="AW17" s="139">
        <f t="shared" si="10"/>
        <v>4079.6734104663251</v>
      </c>
      <c r="AX17" s="139">
        <f t="shared" si="10"/>
        <v>2891.9182213348927</v>
      </c>
      <c r="AY17" s="139">
        <f t="shared" si="10"/>
        <v>1019.8372953298363</v>
      </c>
      <c r="AZ17" s="139">
        <f t="shared" si="10"/>
        <v>7276.0900349250751</v>
      </c>
      <c r="BA17" s="139">
        <f t="shared" si="10"/>
        <v>2195.2382216630185</v>
      </c>
      <c r="BB17" s="139">
        <f t="shared" si="10"/>
        <v>871.06457834620494</v>
      </c>
      <c r="BC17" s="139">
        <f t="shared" si="10"/>
        <v>2201.2992852208345</v>
      </c>
      <c r="BD17" s="139">
        <f t="shared" si="10"/>
        <v>1106.8729494619604</v>
      </c>
      <c r="BE17" s="139">
        <f t="shared" si="10"/>
        <v>4521.1748524566519</v>
      </c>
      <c r="BF17" s="139">
        <f t="shared" si="10"/>
        <v>5631.5621711040903</v>
      </c>
      <c r="BG17" s="139">
        <f t="shared" si="10"/>
        <v>7274.0389138484252</v>
      </c>
      <c r="BH17" s="139">
        <f t="shared" si="10"/>
        <v>6589.6572436688457</v>
      </c>
      <c r="BI17" s="139">
        <f t="shared" si="10"/>
        <v>4308.4972411985782</v>
      </c>
      <c r="BJ17" s="139">
        <f t="shared" ref="BJ17:BW17" si="11">BJ12+BJ14-BJ15-BJ16</f>
        <v>3069.7979650307298</v>
      </c>
      <c r="BK17" s="139">
        <f t="shared" si="11"/>
        <v>1120.7372169143164</v>
      </c>
      <c r="BL17" s="139">
        <f t="shared" si="11"/>
        <v>7624.2960162222098</v>
      </c>
      <c r="BM17" s="139">
        <f t="shared" si="11"/>
        <v>2336.5516005585127</v>
      </c>
      <c r="BN17" s="139">
        <f t="shared" si="11"/>
        <v>957.74485123787053</v>
      </c>
      <c r="BO17" s="139">
        <f t="shared" si="11"/>
        <v>2338.7058141163288</v>
      </c>
      <c r="BP17" s="139">
        <f t="shared" si="11"/>
        <v>1199.6106278559446</v>
      </c>
      <c r="BQ17" s="139">
        <f t="shared" si="11"/>
        <v>4748.6380170992652</v>
      </c>
      <c r="BR17" s="139">
        <f t="shared" si="11"/>
        <v>5901.912499421449</v>
      </c>
      <c r="BS17" s="139">
        <f t="shared" si="11"/>
        <v>7631.5361664488428</v>
      </c>
      <c r="BT17" s="139">
        <f t="shared" si="11"/>
        <v>6918.2120115020352</v>
      </c>
      <c r="BU17" s="139">
        <f t="shared" si="11"/>
        <v>4545.7236357729125</v>
      </c>
      <c r="BV17" s="139">
        <f t="shared" si="11"/>
        <v>3257.3944153983039</v>
      </c>
      <c r="BW17" s="139">
        <f t="shared" si="11"/>
        <v>1230.2892641971885</v>
      </c>
      <c r="BX17" s="139">
        <f t="shared" ref="BX17" si="12">BX12+BX14-BX15-BX16</f>
        <v>7993.9084423173526</v>
      </c>
    </row>
    <row r="18" spans="1:76" s="16" customFormat="1" x14ac:dyDescent="0.25">
      <c r="A18" s="164" t="s">
        <v>375</v>
      </c>
      <c r="B18" s="168">
        <f>IF(B10=0,0,IF(B10*'Книга допущений'!$B$24/2&gt;Расходы!B14,B10*'Книга допущений'!$B$24-Расходы!B14,B10*'Книга допущений'!$B$24/2))</f>
        <v>0</v>
      </c>
      <c r="C18" s="168">
        <f>IF(C10=0,0,IF(C10*'Книга допущений'!$B$24/2&gt;Расходы!C14,C10*'Книга допущений'!$B$24-Расходы!C14,C10*'Книга допущений'!$B$24/2))</f>
        <v>0</v>
      </c>
      <c r="D18" s="168">
        <f>IF(D10=0,0,IF(D10*'Книга допущений'!$B$24/2&gt;Расходы!D14,D10*'Книга допущений'!$B$24-Расходы!D14,D10*'Книга допущений'!$B$24/2))</f>
        <v>0</v>
      </c>
      <c r="E18" s="168">
        <f>IF(E10=0,0,IF(E10*'Книга допущений'!$B$24/2&gt;Расходы!E14,E10*'Книга допущений'!$B$24-Расходы!E14,E10*'Книга допущений'!$B$24/2))</f>
        <v>0</v>
      </c>
      <c r="F18" s="168">
        <f>IF(F10=0,0,IF(F10*'Книга допущений'!$B$24/2&gt;Расходы!F14,F10*'Книга допущений'!$B$24-Расходы!F14,F10*'Книга допущений'!$B$24/2))</f>
        <v>0</v>
      </c>
      <c r="G18" s="168">
        <f>IF(G10=0,0,IF(G10*'Книга допущений'!$B$24/2&gt;Расходы!G14,G10*'Книга допущений'!$B$24-Расходы!G14,G10*'Книга допущений'!$B$24/2))</f>
        <v>0</v>
      </c>
      <c r="H18" s="168">
        <f>IF(H10=0,0,IF(H10*'Книга допущений'!$B$24/2&gt;Расходы!H14,H10*'Книга допущений'!$B$24-Расходы!H14,H10*'Книга допущений'!$B$24/2))</f>
        <v>0</v>
      </c>
      <c r="I18" s="168">
        <f>IF(I10=0,0,IF(I10*'Книга допущений'!$B$24/2&gt;Расходы!I14,I10*'Книга допущений'!$B$24-Расходы!I14,I10*'Книга допущений'!$B$24/2))</f>
        <v>0</v>
      </c>
      <c r="J18" s="168">
        <f>IF(J10=0,0,IF(J10*'Книга допущений'!$B$24/2&gt;Расходы!J14,J10*'Книга допущений'!$B$24-Расходы!J14,J10*'Книга допущений'!$B$24/2))</f>
        <v>0</v>
      </c>
      <c r="K18" s="168">
        <f>IF(K10=0,0,IF(K10*'Книга допущений'!$B$24/2&gt;Расходы!K14,K10*'Книга допущений'!$B$24-Расходы!K14,K10*'Книга допущений'!$B$24/2))</f>
        <v>210.59995007999993</v>
      </c>
      <c r="L18" s="168">
        <f>IF(L10=0,0,IF(L10*'Книга допущений'!$B$24/2&gt;Расходы!L14,L10*'Книга допущений'!$B$24-Расходы!L14,L10*'Книга допущений'!$B$24/2))</f>
        <v>167.35006329600003</v>
      </c>
      <c r="M18" s="168">
        <f>IF(M10=0,0,IF(M10*'Книга допущений'!$B$24/2&gt;Расходы!M14,M10*'Книга допущений'!$B$24-Расходы!M14,M10*'Книга допущений'!$B$24/2))</f>
        <v>126.68348160000002</v>
      </c>
      <c r="N18" s="168">
        <f>IF(N10=0,0,IF(N10*'Книга допущений'!$B$24/2&gt;Расходы!N14,N10*'Книга допущений'!$B$24-Расходы!N14,N10*'Книга допущений'!$B$24/2))</f>
        <v>116.09028849600001</v>
      </c>
      <c r="O18" s="168">
        <f>IF(O10=0,0,IF(O10*'Книга допущений'!$B$24/2&gt;Расходы!O14,O10*'Книга допущений'!$B$24-Расходы!O14,O10*'Книга допущений'!$B$24/2))</f>
        <v>81.99382464</v>
      </c>
      <c r="P18" s="168">
        <f>IF(P10=0,0,IF(P10*'Книга допущений'!$B$24/2&gt;Расходы!P14,P10*'Книга допущений'!$B$24-Расходы!P14,P10*'Книга допущений'!$B$24/2))</f>
        <v>329.8920081600001</v>
      </c>
      <c r="Q18" s="168">
        <f>IF(Q10=0,0,IF(Q10*'Книга допущений'!$B$24/2&gt;Расходы!Q14,Q10*'Книга допущений'!$B$24-Расходы!Q14,Q10*'Книга допущений'!$B$24/2))</f>
        <v>125.13311096832005</v>
      </c>
      <c r="R18" s="168">
        <f>IF(R10=0,0,IF(R10*'Книга допущений'!$B$24/2&gt;Расходы!R14,R10*'Книга допущений'!$B$24-Расходы!R14,R10*'Книга допущений'!$B$24/2))</f>
        <v>96.643387975680042</v>
      </c>
      <c r="S18" s="168">
        <f>IF(S10=0,0,IF(S10*'Книга допущений'!$B$24/2&gt;Расходы!S14,S10*'Книга допущений'!$B$24-Расходы!S14,S10*'Книга допущений'!$B$24/2))</f>
        <v>140.77474983936008</v>
      </c>
      <c r="T18" s="168">
        <f>IF(T10=0,0,IF(T10*'Книга допущений'!$B$24/2&gt;Расходы!T14,T10*'Книга допущений'!$B$24-Расходы!T14,T10*'Книга допущений'!$B$24/2))</f>
        <v>115.72842677760005</v>
      </c>
      <c r="U18" s="168">
        <f>IF(U10=0,0,IF(U10*'Книга допущений'!$B$24/2&gt;Расходы!U14,U10*'Книга допущений'!$B$24-Расходы!U14,U10*'Книга допущений'!$B$24/2))</f>
        <v>303.37945497600026</v>
      </c>
      <c r="V18" s="168">
        <f>IF(V10=0,0,IF(V10*'Книга допущений'!$B$24/2&gt;Расходы!V14,V10*'Книга допущений'!$B$24-Расходы!V14,V10*'Книга допущений'!$B$24/2))</f>
        <v>376.57435545600003</v>
      </c>
      <c r="W18" s="168">
        <f>IF(W10=0,0,IF(W10*'Книга допущений'!$B$24/2&gt;Расходы!W14,W10*'Книга допущений'!$B$24-Расходы!W14,W10*'Книга допущений'!$B$24/2))</f>
        <v>484.90280816640006</v>
      </c>
      <c r="X18" s="168">
        <f>IF(X10=0,0,IF(X10*'Книга допущений'!$B$24/2&gt;Расходы!X14,X10*'Книга допущений'!$B$24-Расходы!X14,X10*'Книга допущений'!$B$24/2))</f>
        <v>439.52196986880006</v>
      </c>
      <c r="Y18" s="168">
        <f>IF(Y10=0,0,IF(Y10*'Книга допущений'!$B$24/2&gt;Расходы!Y14,Y10*'Книга допущений'!$B$24-Расходы!Y14,Y10*'Книга допущений'!$B$24/2))</f>
        <v>288.74047487999997</v>
      </c>
      <c r="Z18" s="168">
        <f>IF(Z10=0,0,IF(Z10*'Книга допущений'!$B$24/2&gt;Расходы!Z14,Z10*'Книга допущений'!$B$24-Расходы!Z14,Z10*'Книга допущений'!$B$24/2))</f>
        <v>221.05999518719997</v>
      </c>
      <c r="AA18" s="168">
        <f>IF(AA10=0,0,IF(AA10*'Книга допущений'!$B$24/2&gt;Расходы!AA14,AA10*'Книга допущений'!$B$24-Расходы!AA14,AA10*'Книга допущений'!$B$24/2))</f>
        <v>121.81939660799999</v>
      </c>
      <c r="AB18" s="168">
        <f>IF(AB10=0,0,IF(AB10*'Книга допущений'!$B$24/2&gt;Расходы!AB14,AB10*'Книга допущений'!$B$24-Расходы!AB14,AB10*'Книга допущений'!$B$24/2))</f>
        <v>507.59322731520001</v>
      </c>
      <c r="AC18" s="168">
        <f>IF(AC10=0,0,IF(AC10*'Книга допущений'!$B$24/2&gt;Расходы!AC14,AC10*'Книга допущений'!$B$24-Расходы!AC14,AC10*'Книга допущений'!$B$24/2))</f>
        <v>168.90000339763196</v>
      </c>
      <c r="AD18" s="168">
        <f>IF(AD10=0,0,IF(AD10*'Книга допущений'!$B$24/2&gt;Расходы!AD14,AD10*'Книга допущений'!$B$24-Расходы!AD14,AD10*'Книга допущений'!$B$24/2))</f>
        <v>118.24602764083198</v>
      </c>
      <c r="AE18" s="168">
        <f>IF(AE10=0,0,IF(AE10*'Книга допущений'!$B$24/2&gt;Расходы!AE14,AE10*'Книга допущений'!$B$24-Расходы!AE14,AE10*'Книга допущений'!$B$24/2))</f>
        <v>168.90000339763196</v>
      </c>
      <c r="AF18" s="168">
        <f>IF(AF10=0,0,IF(AF10*'Книга допущений'!$B$24/2&gt;Расходы!AF14,AF10*'Книга допущений'!$B$24-Расходы!AF14,AF10*'Книга допущений'!$B$24/2))</f>
        <v>126.69217247232</v>
      </c>
      <c r="AG18" s="168">
        <f>IF(AG10=0,0,IF(AG10*'Книга допущений'!$B$24/2&gt;Расходы!AG14,AG10*'Книга допущений'!$B$24-Расходы!AG14,AG10*'Книга допущений'!$B$24/2))</f>
        <v>315.51463317504005</v>
      </c>
      <c r="AH18" s="168">
        <f>IF(AH10=0,0,IF(AH10*'Книга допущений'!$B$24/2&gt;Расходы!AH14,AH10*'Книга допущений'!$B$24-Расходы!AH14,AH10*'Книга допущений'!$B$24/2))</f>
        <v>391.63732967424016</v>
      </c>
      <c r="AI18" s="168">
        <f>IF(AI10=0,0,IF(AI10*'Книга допущений'!$B$24/2&gt;Расходы!AI14,AI10*'Книга допущений'!$B$24-Расходы!AI14,AI10*'Книга допущений'!$B$24/2))</f>
        <v>504.29892049305602</v>
      </c>
      <c r="AJ18" s="168">
        <f>IF(AJ10=0,0,IF(AJ10*'Книга допущений'!$B$24/2&gt;Расходы!AJ14,AJ10*'Книга допущений'!$B$24-Расходы!AJ14,AJ10*'Книга допущений'!$B$24/2))</f>
        <v>457.10284866355198</v>
      </c>
      <c r="AK18" s="168">
        <f>IF(AK10=0,0,IF(AK10*'Книга допущений'!$B$24/2&gt;Расходы!AK14,AK10*'Книга допущений'!$B$24-Расходы!AK14,AK10*'Книга допущений'!$B$24/2))</f>
        <v>300.2900938752</v>
      </c>
      <c r="AL18" s="168">
        <f>IF(AL10=0,0,IF(AL10*'Книга допущений'!$B$24/2&gt;Расходы!AL14,AL10*'Книга допущений'!$B$24-Расходы!AL14,AL10*'Книга допущений'!$B$24/2))</f>
        <v>229.90239499468794</v>
      </c>
      <c r="AM18" s="168">
        <f>IF(AM10=0,0,IF(AM10*'Книга допущений'!$B$24/2&gt;Расходы!AM14,AM10*'Книга допущений'!$B$24-Расходы!AM14,AM10*'Книга допущений'!$B$24/2))</f>
        <v>126.69217247232</v>
      </c>
      <c r="AN18" s="168">
        <f>IF(AN10=0,0,IF(AN10*'Книга допущений'!$B$24/2&gt;Расходы!AN14,AN10*'Книга допущений'!$B$24-Расходы!AN14,AN10*'Книга допущений'!$B$24/2))</f>
        <v>527.89695640780803</v>
      </c>
      <c r="AO18" s="168">
        <f>IF(AO10=0,0,IF(AO10*'Книга допущений'!$B$24/2&gt;Расходы!AO14,AO10*'Книга допущений'!$B$24-Расходы!AO14,AO10*'Книга допущений'!$B$24/2))</f>
        <v>175.65600353353733</v>
      </c>
      <c r="AP18" s="168">
        <f>IF(AP10=0,0,IF(AP10*'Книга допущений'!$B$24/2&gt;Расходы!AP14,AP10*'Книга допущений'!$B$24-Расходы!AP14,AP10*'Книга допущений'!$B$24/2))</f>
        <v>122.97586874646531</v>
      </c>
      <c r="AQ18" s="168">
        <f>IF(AQ10=0,0,IF(AQ10*'Книга допущений'!$B$24/2&gt;Расходы!AQ14,AQ10*'Книга допущений'!$B$24-Расходы!AQ14,AQ10*'Книга допущений'!$B$24/2))</f>
        <v>175.65600353353733</v>
      </c>
      <c r="AR18" s="168">
        <f>IF(AR10=0,0,IF(AR10*'Книга допущений'!$B$24/2&gt;Расходы!AR14,AR10*'Книга допущений'!$B$24-Расходы!AR14,AR10*'Книга допущений'!$B$24/2))</f>
        <v>131.75985937121277</v>
      </c>
      <c r="AS18" s="168">
        <f>IF(AS10=0,0,IF(AS10*'Книга допущений'!$B$24/2&gt;Расходы!AS14,AS10*'Книга допущений'!$B$24-Расходы!AS14,AS10*'Книга допущений'!$B$24/2))</f>
        <v>328.13521850204165</v>
      </c>
      <c r="AT18" s="168">
        <f>IF(AT10=0,0,IF(AT10*'Книга допущений'!$B$24/2&gt;Расходы!AT14,AT10*'Книга допущений'!$B$24-Расходы!AT14,AT10*'Книга допущений'!$B$24/2))</f>
        <v>407.30282286120962</v>
      </c>
      <c r="AU18" s="168">
        <f>IF(AU10=0,0,IF(AU10*'Книга допущений'!$B$24/2&gt;Расходы!AU14,AU10*'Книга допущений'!$B$24-Расходы!AU14,AU10*'Книга допущений'!$B$24/2))</f>
        <v>524.47087731277827</v>
      </c>
      <c r="AV18" s="168">
        <f>IF(AV10=0,0,IF(AV10*'Книга допущений'!$B$24/2&gt;Расходы!AV14,AV10*'Книга допущений'!$B$24-Расходы!AV14,AV10*'Книга допущений'!$B$24/2))</f>
        <v>475.3869626100942</v>
      </c>
      <c r="AW18" s="168">
        <f>IF(AW10=0,0,IF(AW10*'Книга допущений'!$B$24/2&gt;Расходы!AW14,AW10*'Книга допущений'!$B$24-Расходы!AW14,AW10*'Книга допущений'!$B$24/2))</f>
        <v>312.30169763020797</v>
      </c>
      <c r="AX18" s="168">
        <f>IF(AX10=0,0,IF(AX10*'Книга допущений'!$B$24/2&gt;Расходы!AX14,AX10*'Книга допущений'!$B$24-Расходы!AX14,AX10*'Книга допущений'!$B$24/2))</f>
        <v>239.09849079447554</v>
      </c>
      <c r="AY18" s="168">
        <f>IF(AY10=0,0,IF(AY10*'Книга допущений'!$B$24/2&gt;Расходы!AY14,AY10*'Книга допущений'!$B$24-Расходы!AY14,AY10*'Книга допущений'!$B$24/2))</f>
        <v>131.75985937121277</v>
      </c>
      <c r="AZ18" s="168">
        <f>IF(AZ10=0,0,IF(AZ10*'Книга допущений'!$B$24/2&gt;Расходы!AZ14,AZ10*'Книга допущений'!$B$24-Расходы!AZ14,AZ10*'Книга допущений'!$B$24/2))</f>
        <v>549.01283466412031</v>
      </c>
      <c r="BA18" s="168">
        <f>IF(BA10=0,0,IF(BA10*'Книга допущений'!$B$24/2&gt;Расходы!BA14,BA10*'Книга допущений'!$B$24-Расходы!BA14,BA10*'Книга допущений'!$B$24/2))</f>
        <v>182.6822436748788</v>
      </c>
      <c r="BB18" s="168">
        <f>IF(BB10=0,0,IF(BB10*'Книга допущений'!$B$24/2&gt;Расходы!BB14,BB10*'Книга допущений'!$B$24-Расходы!BB14,BB10*'Книга допущений'!$B$24/2))</f>
        <v>127.89490349632391</v>
      </c>
      <c r="BC18" s="168">
        <f>IF(BC10=0,0,IF(BC10*'Книга допущений'!$B$24/2&gt;Расходы!BC14,BC10*'Книга допущений'!$B$24-Расходы!BC14,BC10*'Книга допущений'!$B$24/2))</f>
        <v>182.6822436748788</v>
      </c>
      <c r="BD18" s="168">
        <f>IF(BD10=0,0,IF(BD10*'Книга допущений'!$B$24/2&gt;Расходы!BD14,BD10*'Книга допущений'!$B$24-Расходы!BD14,BD10*'Книга допущений'!$B$24/2))</f>
        <v>137.03025374606131</v>
      </c>
      <c r="BE18" s="168">
        <f>IF(BE10=0,0,IF(BE10*'Книга допущений'!$B$24/2&gt;Расходы!BE14,BE10*'Книга допущений'!$B$24-Расходы!BE14,BE10*'Книга допущений'!$B$24/2))</f>
        <v>341.26062724212329</v>
      </c>
      <c r="BF18" s="168">
        <f>IF(BF10=0,0,IF(BF10*'Книга допущений'!$B$24/2&gt;Расходы!BF14,BF10*'Книга допущений'!$B$24-Расходы!BF14,BF10*'Книга допущений'!$B$24/2))</f>
        <v>423.59493577565797</v>
      </c>
      <c r="BG18" s="168">
        <f>IF(BG10=0,0,IF(BG10*'Книга допущений'!$B$24/2&gt;Расходы!BG14,BG10*'Книга допущений'!$B$24-Расходы!BG14,BG10*'Книга допущений'!$B$24/2))</f>
        <v>545.44971240528935</v>
      </c>
      <c r="BH18" s="168">
        <f>IF(BH10=0,0,IF(BH10*'Книга допущений'!$B$24/2&gt;Расходы!BH14,BH10*'Книга допущений'!$B$24-Расходы!BH14,BH10*'Книга допущений'!$B$24/2))</f>
        <v>494.40244111449806</v>
      </c>
      <c r="BI18" s="168">
        <f>IF(BI10=0,0,IF(BI10*'Книга допущений'!$B$24/2&gt;Расходы!BI14,BI10*'Книга допущений'!$B$24-Расходы!BI14,BI10*'Книга допущений'!$B$24/2))</f>
        <v>324.79376553541641</v>
      </c>
      <c r="BJ18" s="168">
        <f>IF(BJ10=0,0,IF(BJ10*'Книга допущений'!$B$24/2&gt;Расходы!BJ14,BJ10*'Книга допущений'!$B$24-Расходы!BJ14,BJ10*'Книга допущений'!$B$24/2))</f>
        <v>248.66243042625445</v>
      </c>
      <c r="BK18" s="168">
        <f>IF(BK10=0,0,IF(BK10*'Книга допущений'!$B$24/2&gt;Расходы!BK14,BK10*'Книга допущений'!$B$24-Расходы!BK14,BK10*'Книга допущений'!$B$24/2))</f>
        <v>137.03025374606131</v>
      </c>
      <c r="BL18" s="168">
        <f>IF(BL10=0,0,IF(BL10*'Книга допущений'!$B$24/2&gt;Расходы!BL14,BL10*'Книга допущений'!$B$24-Расходы!BL14,BL10*'Книга допущений'!$B$24/2))</f>
        <v>570.97334805068522</v>
      </c>
      <c r="BM18" s="168">
        <f>IF(BM10=0,0,IF(BM10*'Книга допущений'!$B$24/2&gt;Расходы!BM14,BM10*'Книга допущений'!$B$24-Расходы!BM14,BM10*'Книга допущений'!$B$24/2))</f>
        <v>189.98953342187397</v>
      </c>
      <c r="BN18" s="168">
        <f>IF(BN10=0,0,IF(BN10*'Книга допущений'!$B$24/2&gt;Расходы!BN14,BN10*'Книга допущений'!$B$24-Расходы!BN14,BN10*'Книга допущений'!$B$24/2))</f>
        <v>133.01069963617687</v>
      </c>
      <c r="BO18" s="168">
        <f>IF(BO10=0,0,IF(BO10*'Книга допущений'!$B$24/2&gt;Расходы!BO14,BO10*'Книга допущений'!$B$24-Расходы!BO14,BO10*'Книга допущений'!$B$24/2))</f>
        <v>189.98953342187397</v>
      </c>
      <c r="BP18" s="168">
        <f>IF(BP10=0,0,IF(BP10*'Книга допущений'!$B$24/2&gt;Расходы!BP14,BP10*'Книга допущений'!$B$24-Расходы!BP14,BP10*'Книга допущений'!$B$24/2))</f>
        <v>142.51146389590377</v>
      </c>
      <c r="BQ18" s="168">
        <f>IF(BQ10=0,0,IF(BQ10*'Книга допущений'!$B$24/2&gt;Расходы!BQ14,BQ10*'Книга допущений'!$B$24-Расходы!BQ14,BQ10*'Книга допущений'!$B$24/2))</f>
        <v>354.91105233180815</v>
      </c>
      <c r="BR18" s="168">
        <f>IF(BR10=0,0,IF(BR10*'Книга допущений'!$B$24/2&gt;Расходы!BR14,BR10*'Книга допущений'!$B$24-Расходы!BR14,BR10*'Книга допущений'!$B$24/2))</f>
        <v>440.53873320668447</v>
      </c>
      <c r="BS18" s="168">
        <f>IF(BS10=0,0,IF(BS10*'Книга допущений'!$B$24/2&gt;Расходы!BS14,BS10*'Книга допущений'!$B$24-Расходы!BS14,BS10*'Книга допущений'!$B$24/2))</f>
        <v>567.26770090150114</v>
      </c>
      <c r="BT18" s="168">
        <f>IF(BT10=0,0,IF(BT10*'Книга допущений'!$B$24/2&gt;Расходы!BT14,BT10*'Книга допущений'!$B$24-Расходы!BT14,BT10*'Книга допущений'!$B$24/2))</f>
        <v>514.17853875907804</v>
      </c>
      <c r="BU18" s="168">
        <f>IF(BU10=0,0,IF(BU10*'Книга допущений'!$B$24/2&gt;Расходы!BU14,BU10*'Книга допущений'!$B$24-Расходы!BU14,BU10*'Книга допущений'!$B$24/2))</f>
        <v>337.78551615683318</v>
      </c>
      <c r="BV18" s="168">
        <f>IF(BV10=0,0,IF(BV10*'Книга допущений'!$B$24/2&gt;Расходы!BV14,BV10*'Книга допущений'!$B$24-Расходы!BV14,BV10*'Книга допущений'!$B$24/2))</f>
        <v>258.6089276433047</v>
      </c>
      <c r="BW18" s="168">
        <f>IF(BW10=0,0,IF(BW10*'Книга допущений'!$B$24/2&gt;Расходы!BW14,BW10*'Книга допущений'!$B$24-Расходы!BW14,BW10*'Книга допущений'!$B$24/2))</f>
        <v>142.51146389590377</v>
      </c>
      <c r="BX18" s="168">
        <f>IF(BX10=0,0,IF(BX10*'Книга допущений'!$B$24/2&gt;Расходы!BX14,BX10*'Книга допущений'!$B$24-Расходы!BX14,BX10*'Книга допущений'!$B$24/2))</f>
        <v>593.81228197271264</v>
      </c>
    </row>
    <row r="19" spans="1:76" x14ac:dyDescent="0.25">
      <c r="A19" s="144" t="s">
        <v>107</v>
      </c>
      <c r="B19" s="121">
        <f t="shared" ref="B19:AG19" si="13">B17-B18</f>
        <v>-123.791</v>
      </c>
      <c r="C19" s="121">
        <f t="shared" si="13"/>
        <v>-123.791</v>
      </c>
      <c r="D19" s="121">
        <f t="shared" si="13"/>
        <v>-123.791</v>
      </c>
      <c r="E19" s="121">
        <f t="shared" si="13"/>
        <v>-128.74263999999999</v>
      </c>
      <c r="F19" s="121">
        <f t="shared" si="13"/>
        <v>-128.74263999999999</v>
      </c>
      <c r="G19" s="121">
        <f t="shared" si="13"/>
        <v>-128.74263999999999</v>
      </c>
      <c r="H19" s="121">
        <f t="shared" si="13"/>
        <v>-128.74263999999999</v>
      </c>
      <c r="I19" s="121">
        <f t="shared" si="13"/>
        <v>-128.74263999999999</v>
      </c>
      <c r="J19" s="121">
        <f t="shared" si="13"/>
        <v>-380.33943999999997</v>
      </c>
      <c r="K19" s="121">
        <f t="shared" si="13"/>
        <v>2119.464736138545</v>
      </c>
      <c r="L19" s="121">
        <f t="shared" si="13"/>
        <v>1874.4695994439812</v>
      </c>
      <c r="M19" s="121">
        <f t="shared" si="13"/>
        <v>1127.3437492573216</v>
      </c>
      <c r="N19" s="121">
        <f t="shared" si="13"/>
        <v>734.27279447536478</v>
      </c>
      <c r="O19" s="121">
        <f t="shared" si="13"/>
        <v>-166.32546872022368</v>
      </c>
      <c r="P19" s="121">
        <f t="shared" si="13"/>
        <v>3903.3839803017263</v>
      </c>
      <c r="Q19" s="121">
        <f t="shared" si="13"/>
        <v>-1734.395647085857</v>
      </c>
      <c r="R19" s="121">
        <f t="shared" si="13"/>
        <v>32.505304142704489</v>
      </c>
      <c r="S19" s="121">
        <f t="shared" si="13"/>
        <v>1206.8955661728082</v>
      </c>
      <c r="T19" s="121">
        <f t="shared" si="13"/>
        <v>502.3538734427591</v>
      </c>
      <c r="U19" s="121">
        <f t="shared" si="13"/>
        <v>3507.9871595955965</v>
      </c>
      <c r="V19" s="121">
        <f t="shared" si="13"/>
        <v>4420.2971514023411</v>
      </c>
      <c r="W19" s="121">
        <f t="shared" si="13"/>
        <v>5776.2577408224533</v>
      </c>
      <c r="X19" s="121">
        <f t="shared" si="13"/>
        <v>5211.7697056841007</v>
      </c>
      <c r="Y19" s="121">
        <f t="shared" si="13"/>
        <v>3337.3524477056567</v>
      </c>
      <c r="Z19" s="121">
        <f t="shared" si="13"/>
        <v>2309.2546241715013</v>
      </c>
      <c r="AA19" s="121">
        <f t="shared" si="13"/>
        <v>675.85483762135982</v>
      </c>
      <c r="AB19" s="121">
        <f t="shared" si="13"/>
        <v>6076.9726106756225</v>
      </c>
      <c r="AC19" s="121">
        <f t="shared" si="13"/>
        <v>1715.1171662602567</v>
      </c>
      <c r="AD19" s="121">
        <f t="shared" si="13"/>
        <v>542.76114533468558</v>
      </c>
      <c r="AE19" s="121">
        <f t="shared" si="13"/>
        <v>1729.2805998180731</v>
      </c>
      <c r="AF19" s="121">
        <f t="shared" si="13"/>
        <v>754.82117075289602</v>
      </c>
      <c r="AG19" s="121">
        <f t="shared" si="13"/>
        <v>3725.8993186853918</v>
      </c>
      <c r="AH19" s="121">
        <f t="shared" ref="AH19:BM19" si="14">AH17-AH18</f>
        <v>4675.6936202932557</v>
      </c>
      <c r="AI19" s="121">
        <f t="shared" si="14"/>
        <v>6084.6113478190109</v>
      </c>
      <c r="AJ19" s="121">
        <f t="shared" si="14"/>
        <v>5498.5289282039694</v>
      </c>
      <c r="AK19" s="121">
        <f t="shared" si="14"/>
        <v>3548.9869208352334</v>
      </c>
      <c r="AL19" s="121">
        <f t="shared" si="14"/>
        <v>2478.4940588885556</v>
      </c>
      <c r="AM19" s="121">
        <f t="shared" si="14"/>
        <v>780.7332682052521</v>
      </c>
      <c r="AN19" s="121">
        <f t="shared" si="14"/>
        <v>6396.6313999105278</v>
      </c>
      <c r="AO19" s="121">
        <f t="shared" si="14"/>
        <v>1861.3083814473944</v>
      </c>
      <c r="AP19" s="121">
        <f t="shared" si="14"/>
        <v>641.98359061364306</v>
      </c>
      <c r="AQ19" s="121">
        <f t="shared" si="14"/>
        <v>1871.2461350052099</v>
      </c>
      <c r="AR19" s="121">
        <f t="shared" si="14"/>
        <v>862.21552850626836</v>
      </c>
      <c r="AS19" s="121">
        <f t="shared" si="14"/>
        <v>3950.8793032849089</v>
      </c>
      <c r="AT19" s="121">
        <f t="shared" si="14"/>
        <v>4939.6124078859293</v>
      </c>
      <c r="AU19" s="121">
        <f t="shared" si="14"/>
        <v>6403.6365786415618</v>
      </c>
      <c r="AV19" s="121">
        <f t="shared" si="14"/>
        <v>5795.0506499707608</v>
      </c>
      <c r="AW19" s="121">
        <f t="shared" si="14"/>
        <v>3767.3717128361172</v>
      </c>
      <c r="AX19" s="121">
        <f t="shared" si="14"/>
        <v>2652.8197305404174</v>
      </c>
      <c r="AY19" s="121">
        <f t="shared" si="14"/>
        <v>888.07743595862348</v>
      </c>
      <c r="AZ19" s="121">
        <f t="shared" si="14"/>
        <v>6727.0772002609547</v>
      </c>
      <c r="BA19" s="121">
        <f t="shared" si="14"/>
        <v>2012.5559779881396</v>
      </c>
      <c r="BB19" s="121">
        <f t="shared" si="14"/>
        <v>743.16967484988106</v>
      </c>
      <c r="BC19" s="121">
        <f t="shared" si="14"/>
        <v>2018.6170415459555</v>
      </c>
      <c r="BD19" s="121">
        <f t="shared" si="14"/>
        <v>969.84269571589903</v>
      </c>
      <c r="BE19" s="121">
        <f t="shared" si="14"/>
        <v>4179.9142252145284</v>
      </c>
      <c r="BF19" s="121">
        <f t="shared" si="14"/>
        <v>5207.9672353284323</v>
      </c>
      <c r="BG19" s="121">
        <f t="shared" si="14"/>
        <v>6728.5892014431356</v>
      </c>
      <c r="BH19" s="121">
        <f t="shared" si="14"/>
        <v>6095.2548025543474</v>
      </c>
      <c r="BI19" s="121">
        <f t="shared" si="14"/>
        <v>3983.703475663162</v>
      </c>
      <c r="BJ19" s="121">
        <f t="shared" si="14"/>
        <v>2821.1355346044752</v>
      </c>
      <c r="BK19" s="121">
        <f t="shared" si="14"/>
        <v>983.70696316825502</v>
      </c>
      <c r="BL19" s="121">
        <f t="shared" si="14"/>
        <v>7053.3226681715241</v>
      </c>
      <c r="BM19" s="121">
        <f t="shared" si="14"/>
        <v>2146.5620671366387</v>
      </c>
      <c r="BN19" s="121">
        <f t="shared" ref="BN19:BX19" si="15">BN17-BN18</f>
        <v>824.73415160169361</v>
      </c>
      <c r="BO19" s="121">
        <f t="shared" si="15"/>
        <v>2148.7162806944548</v>
      </c>
      <c r="BP19" s="121">
        <f t="shared" si="15"/>
        <v>1057.0991639600409</v>
      </c>
      <c r="BQ19" s="121">
        <f t="shared" si="15"/>
        <v>4393.7269647674566</v>
      </c>
      <c r="BR19" s="121">
        <f t="shared" si="15"/>
        <v>5461.3737662147641</v>
      </c>
      <c r="BS19" s="121">
        <f t="shared" si="15"/>
        <v>7064.2684655473413</v>
      </c>
      <c r="BT19" s="121">
        <f t="shared" si="15"/>
        <v>6404.0334727429572</v>
      </c>
      <c r="BU19" s="121">
        <f t="shared" si="15"/>
        <v>4207.9381196160793</v>
      </c>
      <c r="BV19" s="121">
        <f t="shared" si="15"/>
        <v>2998.7854877549989</v>
      </c>
      <c r="BW19" s="121">
        <f t="shared" si="15"/>
        <v>1087.7778003012847</v>
      </c>
      <c r="BX19" s="121">
        <f t="shared" si="15"/>
        <v>7400.0961603446403</v>
      </c>
    </row>
    <row r="20" spans="1:76" x14ac:dyDescent="0.25">
      <c r="A20" s="164" t="s">
        <v>147</v>
      </c>
      <c r="B20" s="155">
        <f>B19</f>
        <v>-123.791</v>
      </c>
      <c r="C20" s="155">
        <f t="shared" ref="C20:V20" si="16">B20+C19</f>
        <v>-247.58199999999999</v>
      </c>
      <c r="D20" s="155">
        <f t="shared" si="16"/>
        <v>-371.37299999999999</v>
      </c>
      <c r="E20" s="155">
        <f t="shared" si="16"/>
        <v>-500.11563999999998</v>
      </c>
      <c r="F20" s="155">
        <f t="shared" si="16"/>
        <v>-628.85827999999992</v>
      </c>
      <c r="G20" s="155">
        <f t="shared" si="16"/>
        <v>-757.60091999999986</v>
      </c>
      <c r="H20" s="155">
        <f t="shared" si="16"/>
        <v>-886.3435599999998</v>
      </c>
      <c r="I20" s="155">
        <f t="shared" si="16"/>
        <v>-1015.0861999999997</v>
      </c>
      <c r="J20" s="155">
        <f t="shared" si="16"/>
        <v>-1395.4256399999997</v>
      </c>
      <c r="K20" s="155">
        <f t="shared" si="16"/>
        <v>724.03909613854535</v>
      </c>
      <c r="L20" s="155">
        <f t="shared" si="16"/>
        <v>2598.5086955825263</v>
      </c>
      <c r="M20" s="155">
        <f t="shared" si="16"/>
        <v>3725.852444839848</v>
      </c>
      <c r="N20" s="155">
        <f t="shared" si="16"/>
        <v>4460.1252393152126</v>
      </c>
      <c r="O20" s="155">
        <f t="shared" si="16"/>
        <v>4293.7997705949892</v>
      </c>
      <c r="P20" s="155">
        <f t="shared" si="16"/>
        <v>8197.1837508967146</v>
      </c>
      <c r="Q20" s="155">
        <f t="shared" si="16"/>
        <v>6462.7881038108571</v>
      </c>
      <c r="R20" s="155">
        <f t="shared" si="16"/>
        <v>6495.2934079535617</v>
      </c>
      <c r="S20" s="155">
        <f t="shared" si="16"/>
        <v>7702.1889741263694</v>
      </c>
      <c r="T20" s="155">
        <f t="shared" si="16"/>
        <v>8204.5428475691278</v>
      </c>
      <c r="U20" s="155">
        <f t="shared" si="16"/>
        <v>11712.530007164725</v>
      </c>
      <c r="V20" s="155">
        <f t="shared" si="16"/>
        <v>16132.827158567066</v>
      </c>
      <c r="W20" s="155">
        <f t="shared" ref="W20:AP20" si="17">V20+W19</f>
        <v>21909.08489938952</v>
      </c>
      <c r="X20" s="155">
        <f t="shared" si="17"/>
        <v>27120.854605073619</v>
      </c>
      <c r="Y20" s="155">
        <f t="shared" si="17"/>
        <v>30458.207052779275</v>
      </c>
      <c r="Z20" s="155">
        <f t="shared" si="17"/>
        <v>32767.461676950777</v>
      </c>
      <c r="AA20" s="155">
        <f t="shared" si="17"/>
        <v>33443.316514572136</v>
      </c>
      <c r="AB20" s="155">
        <f t="shared" si="17"/>
        <v>39520.289125247757</v>
      </c>
      <c r="AC20" s="155">
        <f t="shared" si="17"/>
        <v>41235.406291508014</v>
      </c>
      <c r="AD20" s="155">
        <f t="shared" si="17"/>
        <v>41778.167436842697</v>
      </c>
      <c r="AE20" s="155">
        <f t="shared" si="17"/>
        <v>43507.448036660768</v>
      </c>
      <c r="AF20" s="155">
        <f t="shared" si="17"/>
        <v>44262.269207413665</v>
      </c>
      <c r="AG20" s="155">
        <f t="shared" si="17"/>
        <v>47988.168526099056</v>
      </c>
      <c r="AH20" s="155">
        <f t="shared" si="17"/>
        <v>52663.862146392312</v>
      </c>
      <c r="AI20" s="155">
        <f t="shared" si="17"/>
        <v>58748.473494211321</v>
      </c>
      <c r="AJ20" s="155">
        <f t="shared" si="17"/>
        <v>64247.002422415288</v>
      </c>
      <c r="AK20" s="155">
        <f t="shared" si="17"/>
        <v>67795.98934325052</v>
      </c>
      <c r="AL20" s="155">
        <f t="shared" si="17"/>
        <v>70274.483402139071</v>
      </c>
      <c r="AM20" s="155">
        <f t="shared" si="17"/>
        <v>71055.216670344322</v>
      </c>
      <c r="AN20" s="155">
        <f t="shared" si="17"/>
        <v>77451.848070254855</v>
      </c>
      <c r="AO20" s="155">
        <f t="shared" si="17"/>
        <v>79313.156451702249</v>
      </c>
      <c r="AP20" s="155">
        <f t="shared" si="17"/>
        <v>79955.140042315892</v>
      </c>
      <c r="AQ20" s="155">
        <f t="shared" ref="AQ20" si="18">AP20+AQ19</f>
        <v>81826.386177321096</v>
      </c>
      <c r="AR20" s="155">
        <f t="shared" ref="AR20" si="19">AQ20+AR19</f>
        <v>82688.601705827357</v>
      </c>
      <c r="AS20" s="155">
        <f t="shared" ref="AS20" si="20">AR20+AS19</f>
        <v>86639.481009112264</v>
      </c>
      <c r="AT20" s="155">
        <f t="shared" ref="AT20" si="21">AS20+AT19</f>
        <v>91579.093416998192</v>
      </c>
      <c r="AU20" s="155">
        <f t="shared" ref="AU20" si="22">AT20+AU19</f>
        <v>97982.729995639747</v>
      </c>
      <c r="AV20" s="155">
        <f t="shared" ref="AV20" si="23">AU20+AV19</f>
        <v>103777.7806456105</v>
      </c>
      <c r="AW20" s="155">
        <f t="shared" ref="AW20" si="24">AV20+AW19</f>
        <v>107545.15235844662</v>
      </c>
      <c r="AX20" s="155">
        <f t="shared" ref="AX20" si="25">AW20+AX19</f>
        <v>110197.97208898704</v>
      </c>
      <c r="AY20" s="155">
        <f t="shared" ref="AY20" si="26">AX20+AY19</f>
        <v>111086.04952494566</v>
      </c>
      <c r="AZ20" s="155">
        <f t="shared" ref="AZ20" si="27">AY20+AZ19</f>
        <v>117813.12672520662</v>
      </c>
      <c r="BA20" s="155">
        <f t="shared" ref="BA20" si="28">AZ20+BA19</f>
        <v>119825.68270319476</v>
      </c>
      <c r="BB20" s="155">
        <f t="shared" ref="BB20" si="29">BA20+BB19</f>
        <v>120568.85237804464</v>
      </c>
      <c r="BC20" s="155">
        <f t="shared" ref="BC20" si="30">BB20+BC19</f>
        <v>122587.46941959059</v>
      </c>
      <c r="BD20" s="155">
        <f t="shared" ref="BD20" si="31">BC20+BD19</f>
        <v>123557.31211530649</v>
      </c>
      <c r="BE20" s="155">
        <f t="shared" ref="BE20" si="32">BD20+BE19</f>
        <v>127737.22634052101</v>
      </c>
      <c r="BF20" s="155">
        <f t="shared" ref="BF20" si="33">BE20+BF19</f>
        <v>132945.19357584944</v>
      </c>
      <c r="BG20" s="155">
        <f t="shared" ref="BG20" si="34">BF20+BG19</f>
        <v>139673.78277729257</v>
      </c>
      <c r="BH20" s="155">
        <f t="shared" ref="BH20" si="35">BG20+BH19</f>
        <v>145769.03757984692</v>
      </c>
      <c r="BI20" s="155">
        <f t="shared" ref="BI20" si="36">BH20+BI19</f>
        <v>149752.74105551007</v>
      </c>
      <c r="BJ20" s="155">
        <f t="shared" ref="BJ20" si="37">BI20+BJ19</f>
        <v>152573.87659011455</v>
      </c>
      <c r="BK20" s="155">
        <f t="shared" ref="BK20" si="38">BJ20+BK19</f>
        <v>153557.58355328281</v>
      </c>
      <c r="BL20" s="155">
        <f t="shared" ref="BL20" si="39">BK20+BL19</f>
        <v>160610.90622145432</v>
      </c>
      <c r="BM20" s="155">
        <f t="shared" ref="BM20" si="40">BL20+BM19</f>
        <v>162757.46828859096</v>
      </c>
      <c r="BN20" s="155">
        <f t="shared" ref="BN20" si="41">BM20+BN19</f>
        <v>163582.20244019266</v>
      </c>
      <c r="BO20" s="155">
        <f t="shared" ref="BO20" si="42">BN20+BO19</f>
        <v>165730.91872088713</v>
      </c>
      <c r="BP20" s="155">
        <f t="shared" ref="BP20" si="43">BO20+BP19</f>
        <v>166788.01788484718</v>
      </c>
      <c r="BQ20" s="155">
        <f t="shared" ref="BQ20" si="44">BP20+BQ19</f>
        <v>171181.74484961465</v>
      </c>
      <c r="BR20" s="155">
        <f t="shared" ref="BR20" si="45">BQ20+BR19</f>
        <v>176643.11861582941</v>
      </c>
      <c r="BS20" s="155">
        <f t="shared" ref="BS20" si="46">BR20+BS19</f>
        <v>183707.38708137674</v>
      </c>
      <c r="BT20" s="155">
        <f t="shared" ref="BT20" si="47">BS20+BT19</f>
        <v>190111.42055411969</v>
      </c>
      <c r="BU20" s="155">
        <f t="shared" ref="BU20" si="48">BT20+BU19</f>
        <v>194319.35867373575</v>
      </c>
      <c r="BV20" s="155">
        <f t="shared" ref="BV20" si="49">BU20+BV19</f>
        <v>197318.14416149075</v>
      </c>
      <c r="BW20" s="155">
        <f t="shared" ref="BW20:BX20" si="50">BV20+BW19</f>
        <v>198405.92196179205</v>
      </c>
      <c r="BX20" s="155">
        <f t="shared" si="50"/>
        <v>205806.01812213668</v>
      </c>
    </row>
    <row r="21" spans="1:76" x14ac:dyDescent="0.25">
      <c r="A21" s="164" t="s">
        <v>111</v>
      </c>
      <c r="B21" s="165" t="str">
        <f t="shared" ref="B21:AG21" si="51">IF(B10=0,"-",B19/B10)</f>
        <v>-</v>
      </c>
      <c r="C21" s="165" t="str">
        <f t="shared" si="51"/>
        <v>-</v>
      </c>
      <c r="D21" s="165" t="str">
        <f t="shared" si="51"/>
        <v>-</v>
      </c>
      <c r="E21" s="165" t="str">
        <f t="shared" si="51"/>
        <v>-</v>
      </c>
      <c r="F21" s="165" t="str">
        <f t="shared" si="51"/>
        <v>-</v>
      </c>
      <c r="G21" s="165" t="str">
        <f t="shared" si="51"/>
        <v>-</v>
      </c>
      <c r="H21" s="165" t="str">
        <f t="shared" si="51"/>
        <v>-</v>
      </c>
      <c r="I21" s="165" t="str">
        <f t="shared" si="51"/>
        <v>-</v>
      </c>
      <c r="J21" s="165" t="str">
        <f t="shared" si="51"/>
        <v>-</v>
      </c>
      <c r="K21" s="165">
        <f t="shared" si="51"/>
        <v>0.41633241976253604</v>
      </c>
      <c r="L21" s="165">
        <f t="shared" si="51"/>
        <v>0.36048270651259534</v>
      </c>
      <c r="M21" s="165">
        <f t="shared" si="51"/>
        <v>0.26696702719701415</v>
      </c>
      <c r="N21" s="165">
        <f t="shared" si="51"/>
        <v>0.18975044441396097</v>
      </c>
      <c r="O21" s="165">
        <f t="shared" si="51"/>
        <v>-6.0855364212056721E-2</v>
      </c>
      <c r="P21" s="165">
        <f t="shared" si="51"/>
        <v>0.49354196441233672</v>
      </c>
      <c r="Q21" s="165">
        <f t="shared" si="51"/>
        <v>-0.41581216202439514</v>
      </c>
      <c r="R21" s="165">
        <f t="shared" si="51"/>
        <v>1.0090282891640035E-2</v>
      </c>
      <c r="S21" s="165">
        <f t="shared" si="51"/>
        <v>0.257197168004208</v>
      </c>
      <c r="T21" s="165">
        <f t="shared" si="51"/>
        <v>0.13022397886946635</v>
      </c>
      <c r="U21" s="165">
        <f t="shared" si="51"/>
        <v>0.46380639378111049</v>
      </c>
      <c r="V21" s="165">
        <f t="shared" si="51"/>
        <v>0.50325650220789131</v>
      </c>
      <c r="W21" s="165">
        <f t="shared" si="51"/>
        <v>0.54550315169298491</v>
      </c>
      <c r="X21" s="165">
        <f t="shared" si="51"/>
        <v>0.53005459178161829</v>
      </c>
      <c r="Y21" s="165">
        <f t="shared" si="51"/>
        <v>0.45595422984659495</v>
      </c>
      <c r="Z21" s="165">
        <f t="shared" si="51"/>
        <v>0.37297283660990765</v>
      </c>
      <c r="AA21" s="165">
        <f t="shared" si="51"/>
        <v>0.16644020322876293</v>
      </c>
      <c r="AB21" s="165">
        <f t="shared" si="51"/>
        <v>0.55411258374101557</v>
      </c>
      <c r="AC21" s="165">
        <f t="shared" si="51"/>
        <v>0.31630019111183627</v>
      </c>
      <c r="AD21" s="165">
        <f t="shared" si="51"/>
        <v>0.13770301366485718</v>
      </c>
      <c r="AE21" s="165">
        <f t="shared" si="51"/>
        <v>0.31891219735214776</v>
      </c>
      <c r="AF21" s="165">
        <f t="shared" si="51"/>
        <v>0.17873744431633559</v>
      </c>
      <c r="AG21" s="165">
        <f t="shared" si="51"/>
        <v>0.47367069007080304</v>
      </c>
      <c r="AH21" s="165">
        <f t="shared" ref="AH21:BM21" si="52">IF(AH10=0,"-",AH19/AH10)</f>
        <v>0.51185934411628831</v>
      </c>
      <c r="AI21" s="165">
        <f t="shared" si="52"/>
        <v>0.55252280042648716</v>
      </c>
      <c r="AJ21" s="165">
        <f t="shared" si="52"/>
        <v>0.53771055172043458</v>
      </c>
      <c r="AK21" s="165">
        <f t="shared" si="52"/>
        <v>0.46621928597504825</v>
      </c>
      <c r="AL21" s="165">
        <f t="shared" si="52"/>
        <v>0.38491064721975538</v>
      </c>
      <c r="AM21" s="165">
        <f t="shared" si="52"/>
        <v>0.18487328450599311</v>
      </c>
      <c r="AN21" s="165">
        <f t="shared" si="52"/>
        <v>0.56082675018919759</v>
      </c>
      <c r="AO21" s="165">
        <f t="shared" si="52"/>
        <v>0.3300582968186343</v>
      </c>
      <c r="AP21" s="165">
        <f t="shared" si="52"/>
        <v>0.15661208914178024</v>
      </c>
      <c r="AQ21" s="165">
        <f t="shared" si="52"/>
        <v>0.33182051851504407</v>
      </c>
      <c r="AR21" s="165">
        <f t="shared" si="52"/>
        <v>0.1963152205734626</v>
      </c>
      <c r="AS21" s="165">
        <f t="shared" si="52"/>
        <v>0.4829540586422118</v>
      </c>
      <c r="AT21" s="165">
        <f t="shared" si="52"/>
        <v>0.51995304222712413</v>
      </c>
      <c r="AU21" s="165">
        <f t="shared" si="52"/>
        <v>0.55912730131335475</v>
      </c>
      <c r="AV21" s="165">
        <f t="shared" si="52"/>
        <v>0.5449114598389404</v>
      </c>
      <c r="AW21" s="165">
        <f t="shared" si="52"/>
        <v>0.4758728956536673</v>
      </c>
      <c r="AX21" s="165">
        <f t="shared" si="52"/>
        <v>0.39613794287771043</v>
      </c>
      <c r="AY21" s="165">
        <f t="shared" si="52"/>
        <v>0.20220363930184632</v>
      </c>
      <c r="AZ21" s="165">
        <f t="shared" si="52"/>
        <v>0.56711412866991562</v>
      </c>
      <c r="BA21" s="165">
        <f t="shared" si="52"/>
        <v>0.34315232901177661</v>
      </c>
      <c r="BB21" s="165">
        <f t="shared" si="52"/>
        <v>0.17432352373710699</v>
      </c>
      <c r="BC21" s="165">
        <f t="shared" si="52"/>
        <v>0.34418577508676829</v>
      </c>
      <c r="BD21" s="165">
        <f t="shared" si="52"/>
        <v>0.21232742460942325</v>
      </c>
      <c r="BE21" s="165">
        <f t="shared" si="52"/>
        <v>0.49129923533858472</v>
      </c>
      <c r="BF21" s="165">
        <f t="shared" si="52"/>
        <v>0.52711594636631431</v>
      </c>
      <c r="BG21" s="165">
        <f t="shared" si="52"/>
        <v>0.56490406116045666</v>
      </c>
      <c r="BH21" s="165">
        <f t="shared" si="52"/>
        <v>0.55109596519477955</v>
      </c>
      <c r="BI21" s="165">
        <f t="shared" si="52"/>
        <v>0.48384489365579603</v>
      </c>
      <c r="BJ21" s="165">
        <f t="shared" si="52"/>
        <v>0.40506928649121854</v>
      </c>
      <c r="BK21" s="165">
        <f t="shared" si="52"/>
        <v>0.21536272529814166</v>
      </c>
      <c r="BL21" s="165">
        <f t="shared" si="52"/>
        <v>0.57174775510699238</v>
      </c>
      <c r="BM21" s="165">
        <f t="shared" si="52"/>
        <v>0.35192416851364683</v>
      </c>
      <c r="BN21" s="165">
        <f t="shared" ref="BN21:BX21" si="53">IF(BN10=0,"-",BN19/BN10)</f>
        <v>0.18601529512834286</v>
      </c>
      <c r="BO21" s="165">
        <f t="shared" si="53"/>
        <v>0.3522773471273668</v>
      </c>
      <c r="BP21" s="165">
        <f t="shared" si="53"/>
        <v>0.22252929028899515</v>
      </c>
      <c r="BQ21" s="165">
        <f t="shared" si="53"/>
        <v>0.49656767454498507</v>
      </c>
      <c r="BR21" s="165">
        <f t="shared" si="53"/>
        <v>0.53150392007338754</v>
      </c>
      <c r="BS21" s="165">
        <f t="shared" si="53"/>
        <v>0.57027527011439261</v>
      </c>
      <c r="BT21" s="165">
        <f t="shared" si="53"/>
        <v>0.55674409566330452</v>
      </c>
      <c r="BU21" s="165">
        <f t="shared" si="53"/>
        <v>0.49142264237717109</v>
      </c>
      <c r="BV21" s="165">
        <f t="shared" si="53"/>
        <v>0.41401628575186816</v>
      </c>
      <c r="BW21" s="165">
        <f t="shared" si="53"/>
        <v>0.22898743102432284</v>
      </c>
      <c r="BX21" s="165">
        <f t="shared" si="53"/>
        <v>0.57678603926539795</v>
      </c>
    </row>
    <row r="22" spans="1:76" ht="12.75" customHeight="1" x14ac:dyDescent="0.25">
      <c r="A22" s="157" t="s">
        <v>66</v>
      </c>
      <c r="B22" s="122">
        <f>Расходы!B12</f>
        <v>0</v>
      </c>
      <c r="C22" s="122">
        <f>Расходы!C12</f>
        <v>0</v>
      </c>
      <c r="D22" s="122">
        <f>Расходы!D12</f>
        <v>0</v>
      </c>
      <c r="E22" s="122">
        <f>Расходы!E12</f>
        <v>0</v>
      </c>
      <c r="F22" s="122">
        <f>Расходы!F12</f>
        <v>0</v>
      </c>
      <c r="G22" s="122">
        <f>Расходы!G12</f>
        <v>0</v>
      </c>
      <c r="H22" s="122">
        <f>Расходы!H12</f>
        <v>0</v>
      </c>
      <c r="I22" s="122">
        <f>Расходы!I12</f>
        <v>0</v>
      </c>
      <c r="J22" s="122">
        <f>Расходы!J12</f>
        <v>0</v>
      </c>
      <c r="K22" s="122">
        <f>Расходы!K12</f>
        <v>646.26406734476177</v>
      </c>
      <c r="L22" s="122">
        <f>Расходы!L12</f>
        <v>646.26406734476177</v>
      </c>
      <c r="M22" s="122">
        <f>Расходы!M12</f>
        <v>646.26406734476177</v>
      </c>
      <c r="N22" s="122">
        <f>Расходы!N12</f>
        <v>646.26406734476177</v>
      </c>
      <c r="O22" s="122">
        <f>Расходы!O12</f>
        <v>646.26406734476177</v>
      </c>
      <c r="P22" s="122">
        <f>Расходы!P12</f>
        <v>646.26406734476177</v>
      </c>
      <c r="Q22" s="122">
        <f>Расходы!Q12</f>
        <v>646.26406734476177</v>
      </c>
      <c r="R22" s="122">
        <f>Расходы!R12</f>
        <v>646.26406734476177</v>
      </c>
      <c r="S22" s="122">
        <f>Расходы!S12</f>
        <v>646.26406734476177</v>
      </c>
      <c r="T22" s="122">
        <f>Расходы!T12</f>
        <v>646.26406734476177</v>
      </c>
      <c r="U22" s="122">
        <f>Расходы!U12</f>
        <v>646.26406734476177</v>
      </c>
      <c r="V22" s="122">
        <f>Расходы!V12</f>
        <v>646.26406734476177</v>
      </c>
      <c r="W22" s="122">
        <f>Расходы!W12</f>
        <v>646.26406734476177</v>
      </c>
      <c r="X22" s="122">
        <f>Расходы!X12</f>
        <v>646.26406734476177</v>
      </c>
      <c r="Y22" s="122">
        <f>Расходы!Y12</f>
        <v>646.26406734476177</v>
      </c>
      <c r="Z22" s="122">
        <f>Расходы!Z12</f>
        <v>646.26406734476177</v>
      </c>
      <c r="AA22" s="122">
        <f>Расходы!AA12</f>
        <v>646.26406734476177</v>
      </c>
      <c r="AB22" s="122">
        <f>Расходы!AB12</f>
        <v>646.26406734476177</v>
      </c>
      <c r="AC22" s="122">
        <f>Расходы!AC12</f>
        <v>646.26406734476177</v>
      </c>
      <c r="AD22" s="122">
        <f>Расходы!AD12</f>
        <v>646.26406734476177</v>
      </c>
      <c r="AE22" s="122">
        <f>Расходы!AE12</f>
        <v>646.26406734476177</v>
      </c>
      <c r="AF22" s="122">
        <f>Расходы!AF12</f>
        <v>646.26406734476177</v>
      </c>
      <c r="AG22" s="122">
        <f>Расходы!AG12</f>
        <v>646.26406734476177</v>
      </c>
      <c r="AH22" s="122">
        <f>Расходы!AH12</f>
        <v>646.26406734476177</v>
      </c>
      <c r="AI22" s="122">
        <f>Расходы!AI12</f>
        <v>646.26406734476177</v>
      </c>
      <c r="AJ22" s="122">
        <f>Расходы!AJ12</f>
        <v>646.26406734476177</v>
      </c>
      <c r="AK22" s="122">
        <f>Расходы!AK12</f>
        <v>646.26406734476177</v>
      </c>
      <c r="AL22" s="122">
        <f>Расходы!AL12</f>
        <v>646.26406734476177</v>
      </c>
      <c r="AM22" s="122">
        <f>Расходы!AM12</f>
        <v>646.26406734476177</v>
      </c>
      <c r="AN22" s="122">
        <f>Расходы!AN12</f>
        <v>646.26406734476177</v>
      </c>
      <c r="AO22" s="122">
        <f>Расходы!AO12</f>
        <v>646.26406734476177</v>
      </c>
      <c r="AP22" s="122">
        <f>Расходы!AP12</f>
        <v>646.26406734476177</v>
      </c>
      <c r="AQ22" s="122">
        <f>Расходы!AQ12</f>
        <v>646.26406734476177</v>
      </c>
      <c r="AR22" s="122">
        <f>Расходы!AR12</f>
        <v>646.26406734476177</v>
      </c>
      <c r="AS22" s="122">
        <f>Расходы!AS12</f>
        <v>646.26406734476177</v>
      </c>
      <c r="AT22" s="122">
        <f>Расходы!AT12</f>
        <v>646.26406734476177</v>
      </c>
      <c r="AU22" s="122">
        <f>Расходы!AU12</f>
        <v>646.26406734476177</v>
      </c>
      <c r="AV22" s="122">
        <f>Расходы!AV12</f>
        <v>646.26406734476177</v>
      </c>
      <c r="AW22" s="122">
        <f>Расходы!AW12</f>
        <v>646.26406734476177</v>
      </c>
      <c r="AX22" s="122">
        <f>Расходы!AX12</f>
        <v>646.26406734476177</v>
      </c>
      <c r="AY22" s="122">
        <f>Расходы!AY12</f>
        <v>646.26406734476177</v>
      </c>
      <c r="AZ22" s="122">
        <f>Расходы!AZ12</f>
        <v>646.26406734476177</v>
      </c>
      <c r="BA22" s="122">
        <f>Расходы!BA12</f>
        <v>646.26406734476177</v>
      </c>
      <c r="BB22" s="122">
        <f>Расходы!BB12</f>
        <v>646.26406734476177</v>
      </c>
      <c r="BC22" s="122">
        <f>Расходы!BC12</f>
        <v>646.26406734476177</v>
      </c>
      <c r="BD22" s="122">
        <f>Расходы!BD12</f>
        <v>646.26406734476177</v>
      </c>
      <c r="BE22" s="122">
        <f>Расходы!BE12</f>
        <v>646.26406734476177</v>
      </c>
      <c r="BF22" s="122">
        <f>Расходы!BF12</f>
        <v>646.26406734476177</v>
      </c>
      <c r="BG22" s="122">
        <f>Расходы!BG12</f>
        <v>646.26406734476177</v>
      </c>
      <c r="BH22" s="122">
        <f>Расходы!BH12</f>
        <v>646.26406734476177</v>
      </c>
      <c r="BI22" s="122">
        <f>Расходы!BI12</f>
        <v>646.26406734476177</v>
      </c>
      <c r="BJ22" s="122">
        <f>Расходы!BJ12</f>
        <v>646.26406734476177</v>
      </c>
      <c r="BK22" s="122">
        <f>Расходы!BK12</f>
        <v>646.26406734476177</v>
      </c>
      <c r="BL22" s="122">
        <f>Расходы!BL12</f>
        <v>646.26406734476177</v>
      </c>
      <c r="BM22" s="122">
        <f>Расходы!BM12</f>
        <v>646.26406734476177</v>
      </c>
      <c r="BN22" s="122">
        <f>Расходы!BN12</f>
        <v>646.26406734476177</v>
      </c>
      <c r="BO22" s="122">
        <f>Расходы!BO12</f>
        <v>646.26406734476177</v>
      </c>
      <c r="BP22" s="122">
        <f>Расходы!BP12</f>
        <v>646.26406734476177</v>
      </c>
      <c r="BQ22" s="122">
        <f>Расходы!BQ12</f>
        <v>646.26406734476177</v>
      </c>
      <c r="BR22" s="122">
        <f>Расходы!BR12</f>
        <v>646.26406734476177</v>
      </c>
      <c r="BS22" s="122">
        <f>Расходы!BS12</f>
        <v>622.93073401142851</v>
      </c>
      <c r="BT22" s="122">
        <f>Расходы!BT12</f>
        <v>622.93073401142851</v>
      </c>
      <c r="BU22" s="122">
        <f>Расходы!BU12</f>
        <v>622.93073401142851</v>
      </c>
      <c r="BV22" s="122">
        <f>Расходы!BV12</f>
        <v>622.93073401142851</v>
      </c>
      <c r="BW22" s="122">
        <f>Расходы!BW12</f>
        <v>622.93073401142851</v>
      </c>
      <c r="BX22" s="122">
        <f>Расходы!BX12</f>
        <v>622.93073401142851</v>
      </c>
    </row>
    <row r="23" spans="1:76" s="18" customFormat="1" x14ac:dyDescent="0.25">
      <c r="A23" s="157" t="s">
        <v>72</v>
      </c>
      <c r="B23" s="122">
        <f t="shared" ref="B23:AG23" si="54">B17+B16+B22</f>
        <v>-123.791</v>
      </c>
      <c r="C23" s="122">
        <f t="shared" si="54"/>
        <v>-123.791</v>
      </c>
      <c r="D23" s="122">
        <f t="shared" si="54"/>
        <v>-123.791</v>
      </c>
      <c r="E23" s="122">
        <f t="shared" si="54"/>
        <v>-128.74263999999999</v>
      </c>
      <c r="F23" s="122">
        <f t="shared" si="54"/>
        <v>-128.74263999999999</v>
      </c>
      <c r="G23" s="122">
        <f t="shared" si="54"/>
        <v>-128.74263999999999</v>
      </c>
      <c r="H23" s="122">
        <f t="shared" si="54"/>
        <v>-128.74263999999999</v>
      </c>
      <c r="I23" s="122">
        <f t="shared" si="54"/>
        <v>-128.74263999999999</v>
      </c>
      <c r="J23" s="122">
        <f t="shared" si="54"/>
        <v>-380.33943999999997</v>
      </c>
      <c r="K23" s="122">
        <f t="shared" si="54"/>
        <v>2976.3287535633067</v>
      </c>
      <c r="L23" s="122">
        <f t="shared" si="54"/>
        <v>2688.0837300847429</v>
      </c>
      <c r="M23" s="122">
        <f t="shared" si="54"/>
        <v>1900.2912982020835</v>
      </c>
      <c r="N23" s="122">
        <f t="shared" si="54"/>
        <v>1496.6271503161265</v>
      </c>
      <c r="O23" s="122">
        <f t="shared" si="54"/>
        <v>561.9324232645381</v>
      </c>
      <c r="P23" s="122">
        <f t="shared" si="54"/>
        <v>4879.5400558064885</v>
      </c>
      <c r="Q23" s="122">
        <f t="shared" si="54"/>
        <v>1678.4987212272249</v>
      </c>
      <c r="R23" s="122">
        <f t="shared" si="54"/>
        <v>879.38593946314631</v>
      </c>
      <c r="S23" s="122">
        <f t="shared" si="54"/>
        <v>2085.47501335693</v>
      </c>
      <c r="T23" s="122">
        <f t="shared" si="54"/>
        <v>1363.0703075651209</v>
      </c>
      <c r="U23" s="122">
        <f t="shared" si="54"/>
        <v>4550.6300219163586</v>
      </c>
      <c r="V23" s="122">
        <f t="shared" si="54"/>
        <v>5536.6102742031035</v>
      </c>
      <c r="W23" s="122">
        <f t="shared" si="54"/>
        <v>6995.3440363336158</v>
      </c>
      <c r="X23" s="122">
        <f t="shared" si="54"/>
        <v>6385.7811928976625</v>
      </c>
      <c r="Y23" s="122">
        <f t="shared" si="54"/>
        <v>4357.9578199304178</v>
      </c>
      <c r="Z23" s="122">
        <f t="shared" si="54"/>
        <v>3256.8782367034632</v>
      </c>
      <c r="AA23" s="122">
        <f t="shared" si="54"/>
        <v>1524.2898915741216</v>
      </c>
      <c r="AB23" s="122">
        <f t="shared" si="54"/>
        <v>7306.0495453355852</v>
      </c>
      <c r="AC23" s="122">
        <f t="shared" si="54"/>
        <v>2605.3835770026503</v>
      </c>
      <c r="AD23" s="122">
        <f t="shared" si="54"/>
        <v>1379.7489603202794</v>
      </c>
      <c r="AE23" s="122">
        <f t="shared" si="54"/>
        <v>2607.5377905604669</v>
      </c>
      <c r="AF23" s="122">
        <f t="shared" si="54"/>
        <v>1595.0058805699778</v>
      </c>
      <c r="AG23" s="122">
        <f t="shared" si="54"/>
        <v>4750.1978692051944</v>
      </c>
      <c r="AH23" s="122">
        <f t="shared" ref="AH23:BM23" si="55">AH17+AH16+AH22</f>
        <v>5775.5742473122573</v>
      </c>
      <c r="AI23" s="122">
        <f t="shared" si="55"/>
        <v>7292.6142756568297</v>
      </c>
      <c r="AJ23" s="122">
        <f t="shared" si="55"/>
        <v>6658.6258342122837</v>
      </c>
      <c r="AK23" s="122">
        <f t="shared" si="55"/>
        <v>4549.6464420551947</v>
      </c>
      <c r="AL23" s="122">
        <f t="shared" si="55"/>
        <v>3404.4805912280053</v>
      </c>
      <c r="AM23" s="122">
        <f t="shared" si="55"/>
        <v>1602.5456280223339</v>
      </c>
      <c r="AN23" s="122">
        <f t="shared" si="55"/>
        <v>7615.5325836630982</v>
      </c>
      <c r="AO23" s="122">
        <f t="shared" si="55"/>
        <v>2726.7968923256935</v>
      </c>
      <c r="AP23" s="122">
        <f t="shared" si="55"/>
        <v>1452.0938067048701</v>
      </c>
      <c r="AQ23" s="122">
        <f t="shared" si="55"/>
        <v>2728.9511058835092</v>
      </c>
      <c r="AR23" s="122">
        <f t="shared" si="55"/>
        <v>1675.8748352222428</v>
      </c>
      <c r="AS23" s="122">
        <f t="shared" si="55"/>
        <v>4957.2314191317128</v>
      </c>
      <c r="AT23" s="122">
        <f t="shared" si="55"/>
        <v>6023.5797680919004</v>
      </c>
      <c r="AU23" s="122">
        <f t="shared" si="55"/>
        <v>7601.2583132991022</v>
      </c>
      <c r="AV23" s="122">
        <f t="shared" si="55"/>
        <v>6941.8672499256172</v>
      </c>
      <c r="AW23" s="122">
        <f t="shared" si="55"/>
        <v>4748.4855978110863</v>
      </c>
      <c r="AX23" s="122">
        <f t="shared" si="55"/>
        <v>3557.4700286796547</v>
      </c>
      <c r="AY23" s="122">
        <f t="shared" si="55"/>
        <v>1683.414582674598</v>
      </c>
      <c r="AZ23" s="122">
        <f t="shared" si="55"/>
        <v>7936.8779322698374</v>
      </c>
      <c r="BA23" s="122">
        <f t="shared" si="55"/>
        <v>2852.5497290077801</v>
      </c>
      <c r="BB23" s="122">
        <f t="shared" si="55"/>
        <v>1526.8154356909668</v>
      </c>
      <c r="BC23" s="122">
        <f t="shared" si="55"/>
        <v>2854.7039425655962</v>
      </c>
      <c r="BD23" s="122">
        <f t="shared" si="55"/>
        <v>1759.4615368067221</v>
      </c>
      <c r="BE23" s="122">
        <f t="shared" si="55"/>
        <v>5172.0292998014138</v>
      </c>
      <c r="BF23" s="122">
        <f t="shared" si="55"/>
        <v>6280.9884984488526</v>
      </c>
      <c r="BG23" s="122">
        <f t="shared" si="55"/>
        <v>7921.731101193187</v>
      </c>
      <c r="BH23" s="122">
        <f t="shared" si="55"/>
        <v>7235.9213110136079</v>
      </c>
      <c r="BI23" s="122">
        <f t="shared" si="55"/>
        <v>4954.7613085433404</v>
      </c>
      <c r="BJ23" s="122">
        <f t="shared" si="55"/>
        <v>3716.0620323754915</v>
      </c>
      <c r="BK23" s="122">
        <f t="shared" si="55"/>
        <v>1767.0012842590781</v>
      </c>
      <c r="BL23" s="122">
        <f t="shared" si="55"/>
        <v>8270.560083566972</v>
      </c>
      <c r="BM23" s="122">
        <f t="shared" si="55"/>
        <v>2982.8156679032745</v>
      </c>
      <c r="BN23" s="122">
        <f t="shared" ref="BN23:BX23" si="56">BN17+BN16+BN22</f>
        <v>1604.0089185826323</v>
      </c>
      <c r="BO23" s="122">
        <f t="shared" si="56"/>
        <v>2984.9698814610906</v>
      </c>
      <c r="BP23" s="122">
        <f t="shared" si="56"/>
        <v>1845.8746952007064</v>
      </c>
      <c r="BQ23" s="122">
        <f t="shared" si="56"/>
        <v>5394.9020844440274</v>
      </c>
      <c r="BR23" s="122">
        <f t="shared" si="56"/>
        <v>6548.1765667662112</v>
      </c>
      <c r="BS23" s="122">
        <f t="shared" si="56"/>
        <v>8254.4669004602711</v>
      </c>
      <c r="BT23" s="122">
        <f t="shared" si="56"/>
        <v>7541.1427455134635</v>
      </c>
      <c r="BU23" s="122">
        <f t="shared" si="56"/>
        <v>5168.6543697843408</v>
      </c>
      <c r="BV23" s="122">
        <f t="shared" si="56"/>
        <v>3880.3251494097321</v>
      </c>
      <c r="BW23" s="122">
        <f t="shared" si="56"/>
        <v>1853.219998208617</v>
      </c>
      <c r="BX23" s="122">
        <f t="shared" si="56"/>
        <v>8616.8391763287818</v>
      </c>
    </row>
    <row r="24" spans="1:76" s="18" customFormat="1" x14ac:dyDescent="0.25">
      <c r="A24" s="157" t="s">
        <v>112</v>
      </c>
      <c r="B24" s="165" t="str">
        <f t="shared" ref="B24:AG24" si="57">IF(B10=0,"-",B23/B10)</f>
        <v>-</v>
      </c>
      <c r="C24" s="165" t="str">
        <f t="shared" si="57"/>
        <v>-</v>
      </c>
      <c r="D24" s="165" t="str">
        <f t="shared" si="57"/>
        <v>-</v>
      </c>
      <c r="E24" s="165" t="str">
        <f t="shared" si="57"/>
        <v>-</v>
      </c>
      <c r="F24" s="165" t="str">
        <f t="shared" si="57"/>
        <v>-</v>
      </c>
      <c r="G24" s="165" t="str">
        <f t="shared" si="57"/>
        <v>-</v>
      </c>
      <c r="H24" s="165" t="str">
        <f t="shared" si="57"/>
        <v>-</v>
      </c>
      <c r="I24" s="165" t="str">
        <f t="shared" si="57"/>
        <v>-</v>
      </c>
      <c r="J24" s="165" t="str">
        <f t="shared" si="57"/>
        <v>-</v>
      </c>
      <c r="K24" s="165">
        <f t="shared" si="57"/>
        <v>0.5846486288974162</v>
      </c>
      <c r="L24" s="165">
        <f t="shared" si="57"/>
        <v>0.51695034085421021</v>
      </c>
      <c r="M24" s="165">
        <f t="shared" si="57"/>
        <v>0.45000925318792701</v>
      </c>
      <c r="N24" s="165">
        <f t="shared" si="57"/>
        <v>0.38675771325205055</v>
      </c>
      <c r="O24" s="165">
        <f t="shared" si="57"/>
        <v>0.20560051652612046</v>
      </c>
      <c r="P24" s="165">
        <f t="shared" si="57"/>
        <v>0.61696666193349037</v>
      </c>
      <c r="Q24" s="165">
        <f t="shared" si="57"/>
        <v>0.4024111703701278</v>
      </c>
      <c r="R24" s="165">
        <f t="shared" si="57"/>
        <v>0.27297861484878011</v>
      </c>
      <c r="S24" s="165">
        <f t="shared" si="57"/>
        <v>0.44442807017665303</v>
      </c>
      <c r="T24" s="165">
        <f t="shared" si="57"/>
        <v>0.35334541707317618</v>
      </c>
      <c r="U24" s="165">
        <f t="shared" si="57"/>
        <v>0.60165878718335875</v>
      </c>
      <c r="V24" s="165">
        <f t="shared" si="57"/>
        <v>0.63035018353907768</v>
      </c>
      <c r="W24" s="165">
        <f t="shared" si="57"/>
        <v>0.660632262308533</v>
      </c>
      <c r="X24" s="165">
        <f t="shared" si="57"/>
        <v>0.6494555274989483</v>
      </c>
      <c r="Y24" s="165">
        <f t="shared" si="57"/>
        <v>0.59539090720141075</v>
      </c>
      <c r="Z24" s="165">
        <f t="shared" si="57"/>
        <v>0.52602562823585397</v>
      </c>
      <c r="AA24" s="165">
        <f t="shared" si="57"/>
        <v>0.37538108068596854</v>
      </c>
      <c r="AB24" s="165">
        <f t="shared" si="57"/>
        <v>0.66618269488229354</v>
      </c>
      <c r="AC24" s="165">
        <f t="shared" si="57"/>
        <v>0.48048223149818858</v>
      </c>
      <c r="AD24" s="165">
        <f t="shared" si="57"/>
        <v>0.35005377884943839</v>
      </c>
      <c r="AE24" s="165">
        <f t="shared" si="57"/>
        <v>0.48087950940633217</v>
      </c>
      <c r="AF24" s="165">
        <f t="shared" si="57"/>
        <v>0.37768849869200682</v>
      </c>
      <c r="AG24" s="165">
        <f t="shared" si="57"/>
        <v>0.60388897021327992</v>
      </c>
      <c r="AH24" s="165">
        <f t="shared" ref="AH24:BM24" si="58">IF(AH10=0,"-",AH23/AH10)</f>
        <v>0.63226590238792457</v>
      </c>
      <c r="AI24" s="165">
        <f t="shared" si="58"/>
        <v>0.66221742551566232</v>
      </c>
      <c r="AJ24" s="165">
        <f t="shared" si="58"/>
        <v>0.65115841305280298</v>
      </c>
      <c r="AK24" s="165">
        <f t="shared" si="58"/>
        <v>0.59767279028311981</v>
      </c>
      <c r="AL24" s="165">
        <f t="shared" si="58"/>
        <v>0.52871654992157047</v>
      </c>
      <c r="AM24" s="165">
        <f t="shared" si="58"/>
        <v>0.37947386884674233</v>
      </c>
      <c r="AN24" s="165">
        <f t="shared" si="58"/>
        <v>0.66769431015134917</v>
      </c>
      <c r="AO24" s="165">
        <f t="shared" si="58"/>
        <v>0.48353187844751555</v>
      </c>
      <c r="AP24" s="165">
        <f t="shared" si="58"/>
        <v>0.35423871890637265</v>
      </c>
      <c r="AQ24" s="165">
        <f t="shared" si="58"/>
        <v>0.483913876436115</v>
      </c>
      <c r="AR24" s="165">
        <f t="shared" si="58"/>
        <v>0.38157482329289555</v>
      </c>
      <c r="AS24" s="165">
        <f t="shared" si="58"/>
        <v>0.60597017770393424</v>
      </c>
      <c r="AT24" s="165">
        <f t="shared" si="58"/>
        <v>0.6340535181499336</v>
      </c>
      <c r="AU24" s="165">
        <f t="shared" si="58"/>
        <v>0.6636964785722147</v>
      </c>
      <c r="AV24" s="165">
        <f t="shared" si="58"/>
        <v>0.65274718818621269</v>
      </c>
      <c r="AW24" s="165">
        <f t="shared" si="58"/>
        <v>0.59980160271973515</v>
      </c>
      <c r="AX24" s="165">
        <f t="shared" si="58"/>
        <v>0.53122677081536318</v>
      </c>
      <c r="AY24" s="165">
        <f t="shared" si="58"/>
        <v>0.38329152536475641</v>
      </c>
      <c r="AZ24" s="165">
        <f t="shared" si="58"/>
        <v>0.66910420066891529</v>
      </c>
      <c r="BA24" s="165">
        <f t="shared" si="58"/>
        <v>0.48637607790142201</v>
      </c>
      <c r="BB24" s="165">
        <f t="shared" si="58"/>
        <v>0.35814142564363843</v>
      </c>
      <c r="BC24" s="165">
        <f t="shared" si="58"/>
        <v>0.48674338365969078</v>
      </c>
      <c r="BD24" s="165">
        <f t="shared" si="58"/>
        <v>0.38519848472307772</v>
      </c>
      <c r="BE24" s="165">
        <f t="shared" si="58"/>
        <v>0.60791057022486539</v>
      </c>
      <c r="BF24" s="165">
        <f t="shared" si="58"/>
        <v>0.635720051005085</v>
      </c>
      <c r="BG24" s="165">
        <f t="shared" si="58"/>
        <v>0.66507523888147813</v>
      </c>
      <c r="BH24" s="165">
        <f t="shared" si="58"/>
        <v>0.65422811156235716</v>
      </c>
      <c r="BI24" s="165">
        <f t="shared" si="58"/>
        <v>0.60178574360957526</v>
      </c>
      <c r="BJ24" s="165">
        <f t="shared" si="58"/>
        <v>0.53356621032476781</v>
      </c>
      <c r="BK24" s="165">
        <f t="shared" si="58"/>
        <v>0.38684915979217488</v>
      </c>
      <c r="BL24" s="165">
        <f t="shared" si="58"/>
        <v>0.67041795529861381</v>
      </c>
      <c r="BM24" s="165">
        <f t="shared" si="58"/>
        <v>0.48902612220134706</v>
      </c>
      <c r="BN24" s="165">
        <f t="shared" ref="BN24:BX24" si="59">IF(BN10=0,"-",BN23/BN10)</f>
        <v>0.36177741857686607</v>
      </c>
      <c r="BO24" s="165">
        <f t="shared" si="59"/>
        <v>0.48937930081506703</v>
      </c>
      <c r="BP24" s="165">
        <f t="shared" si="59"/>
        <v>0.38857393884095015</v>
      </c>
      <c r="BQ24" s="165">
        <f t="shared" si="59"/>
        <v>0.60971790098751599</v>
      </c>
      <c r="BR24" s="165">
        <f t="shared" si="59"/>
        <v>0.6372721706211224</v>
      </c>
      <c r="BS24" s="165">
        <f t="shared" si="59"/>
        <v>0.66635609394915174</v>
      </c>
      <c r="BT24" s="165">
        <f t="shared" si="59"/>
        <v>0.65560036748535278</v>
      </c>
      <c r="BU24" s="165">
        <f t="shared" si="59"/>
        <v>0.60361956752478918</v>
      </c>
      <c r="BV24" s="165">
        <f t="shared" si="59"/>
        <v>0.535722815929351</v>
      </c>
      <c r="BW24" s="165">
        <f t="shared" si="59"/>
        <v>0.39012019402781906</v>
      </c>
      <c r="BX24" s="165">
        <f t="shared" si="59"/>
        <v>0.67162269676102748</v>
      </c>
    </row>
    <row r="25" spans="1:76" s="18" customFormat="1" x14ac:dyDescent="0.25">
      <c r="A25" s="157" t="s">
        <v>73</v>
      </c>
      <c r="B25" s="122">
        <f t="shared" ref="B25:V25" si="60">B23-B22</f>
        <v>-123.791</v>
      </c>
      <c r="C25" s="122">
        <f t="shared" si="60"/>
        <v>-123.791</v>
      </c>
      <c r="D25" s="122">
        <f t="shared" si="60"/>
        <v>-123.791</v>
      </c>
      <c r="E25" s="122">
        <f t="shared" si="60"/>
        <v>-128.74263999999999</v>
      </c>
      <c r="F25" s="122">
        <f t="shared" si="60"/>
        <v>-128.74263999999999</v>
      </c>
      <c r="G25" s="122">
        <f t="shared" si="60"/>
        <v>-128.74263999999999</v>
      </c>
      <c r="H25" s="122">
        <f t="shared" si="60"/>
        <v>-128.74263999999999</v>
      </c>
      <c r="I25" s="122">
        <f t="shared" si="60"/>
        <v>-128.74263999999999</v>
      </c>
      <c r="J25" s="122">
        <f t="shared" si="60"/>
        <v>-380.33943999999997</v>
      </c>
      <c r="K25" s="122">
        <f t="shared" si="60"/>
        <v>2330.0646862185449</v>
      </c>
      <c r="L25" s="122">
        <f t="shared" si="60"/>
        <v>2041.8196627399811</v>
      </c>
      <c r="M25" s="122">
        <f t="shared" si="60"/>
        <v>1254.0272308573217</v>
      </c>
      <c r="N25" s="122">
        <f t="shared" si="60"/>
        <v>850.36308297136475</v>
      </c>
      <c r="O25" s="122">
        <f t="shared" si="60"/>
        <v>-84.331644080223668</v>
      </c>
      <c r="P25" s="122">
        <f t="shared" si="60"/>
        <v>4233.2759884617262</v>
      </c>
      <c r="Q25" s="122">
        <f t="shared" si="60"/>
        <v>1032.2346538824631</v>
      </c>
      <c r="R25" s="122">
        <f t="shared" si="60"/>
        <v>233.12187211838454</v>
      </c>
      <c r="S25" s="122">
        <f t="shared" si="60"/>
        <v>1439.2109460121683</v>
      </c>
      <c r="T25" s="122">
        <f t="shared" si="60"/>
        <v>716.80624022035909</v>
      </c>
      <c r="U25" s="122">
        <f t="shared" si="60"/>
        <v>3904.3659545715968</v>
      </c>
      <c r="V25" s="122">
        <f t="shared" si="60"/>
        <v>4890.3462068583412</v>
      </c>
      <c r="W25" s="122">
        <f t="shared" ref="W25:AP25" si="61">W23-W22</f>
        <v>6349.0799689888536</v>
      </c>
      <c r="X25" s="122">
        <f t="shared" si="61"/>
        <v>5739.5171255529003</v>
      </c>
      <c r="Y25" s="122">
        <f t="shared" si="61"/>
        <v>3711.6937525856561</v>
      </c>
      <c r="Z25" s="122">
        <f t="shared" si="61"/>
        <v>2610.6141693587015</v>
      </c>
      <c r="AA25" s="122">
        <f t="shared" si="61"/>
        <v>878.02582422935984</v>
      </c>
      <c r="AB25" s="122">
        <f t="shared" si="61"/>
        <v>6659.785477990823</v>
      </c>
      <c r="AC25" s="122">
        <f t="shared" si="61"/>
        <v>1959.1195096578886</v>
      </c>
      <c r="AD25" s="122">
        <f t="shared" si="61"/>
        <v>733.4848929755176</v>
      </c>
      <c r="AE25" s="122">
        <f t="shared" si="61"/>
        <v>1961.2737232157051</v>
      </c>
      <c r="AF25" s="122">
        <f t="shared" si="61"/>
        <v>948.74181322521599</v>
      </c>
      <c r="AG25" s="122">
        <f t="shared" si="61"/>
        <v>4103.9338018604321</v>
      </c>
      <c r="AH25" s="122">
        <f t="shared" si="61"/>
        <v>5129.3101799674951</v>
      </c>
      <c r="AI25" s="122">
        <f t="shared" si="61"/>
        <v>6646.3502083120675</v>
      </c>
      <c r="AJ25" s="122">
        <f t="shared" si="61"/>
        <v>6012.3617668675215</v>
      </c>
      <c r="AK25" s="122">
        <f t="shared" si="61"/>
        <v>3903.3823747104329</v>
      </c>
      <c r="AL25" s="122">
        <f t="shared" si="61"/>
        <v>2758.2165238832436</v>
      </c>
      <c r="AM25" s="122">
        <f t="shared" si="61"/>
        <v>956.28156067757209</v>
      </c>
      <c r="AN25" s="122">
        <f t="shared" si="61"/>
        <v>6969.268516318336</v>
      </c>
      <c r="AO25" s="122">
        <f t="shared" si="61"/>
        <v>2080.5328249809318</v>
      </c>
      <c r="AP25" s="122">
        <f t="shared" si="61"/>
        <v>805.82973936010831</v>
      </c>
      <c r="AQ25" s="122">
        <f t="shared" ref="AQ25:BI25" si="62">AQ23-AQ22</f>
        <v>2082.6870385387474</v>
      </c>
      <c r="AR25" s="122">
        <f t="shared" si="62"/>
        <v>1029.6107678774811</v>
      </c>
      <c r="AS25" s="122">
        <f t="shared" si="62"/>
        <v>4310.9673517869505</v>
      </c>
      <c r="AT25" s="122">
        <f t="shared" si="62"/>
        <v>5377.3157007471382</v>
      </c>
      <c r="AU25" s="122">
        <f t="shared" si="62"/>
        <v>6954.9942459543399</v>
      </c>
      <c r="AV25" s="122">
        <f t="shared" si="62"/>
        <v>6295.603182580855</v>
      </c>
      <c r="AW25" s="122">
        <f t="shared" si="62"/>
        <v>4102.2215304663241</v>
      </c>
      <c r="AX25" s="122">
        <f t="shared" si="62"/>
        <v>2911.2059613348929</v>
      </c>
      <c r="AY25" s="122">
        <f t="shared" si="62"/>
        <v>1037.1505153298363</v>
      </c>
      <c r="AZ25" s="122">
        <f t="shared" si="62"/>
        <v>7290.6138649250752</v>
      </c>
      <c r="BA25" s="122">
        <f t="shared" si="62"/>
        <v>2206.2856616630183</v>
      </c>
      <c r="BB25" s="122">
        <f t="shared" si="62"/>
        <v>880.55136834620498</v>
      </c>
      <c r="BC25" s="122">
        <f t="shared" si="62"/>
        <v>2208.4398752208344</v>
      </c>
      <c r="BD25" s="122">
        <f t="shared" si="62"/>
        <v>1113.1974694619603</v>
      </c>
      <c r="BE25" s="122">
        <f t="shared" si="62"/>
        <v>4525.7652324566516</v>
      </c>
      <c r="BF25" s="122">
        <f t="shared" si="62"/>
        <v>5634.7244311040904</v>
      </c>
      <c r="BG25" s="122">
        <f t="shared" si="62"/>
        <v>7275.4670338484248</v>
      </c>
      <c r="BH25" s="122">
        <f t="shared" si="62"/>
        <v>6589.6572436688457</v>
      </c>
      <c r="BI25" s="122">
        <f t="shared" si="62"/>
        <v>4308.4972411985782</v>
      </c>
      <c r="BJ25" s="122">
        <f t="shared" ref="BJ25:BW25" si="63">BJ23-BJ22</f>
        <v>3069.7979650307298</v>
      </c>
      <c r="BK25" s="122">
        <f t="shared" si="63"/>
        <v>1120.7372169143164</v>
      </c>
      <c r="BL25" s="122">
        <f t="shared" si="63"/>
        <v>7624.2960162222098</v>
      </c>
      <c r="BM25" s="122">
        <f t="shared" si="63"/>
        <v>2336.5516005585127</v>
      </c>
      <c r="BN25" s="122">
        <f t="shared" si="63"/>
        <v>957.74485123787053</v>
      </c>
      <c r="BO25" s="122">
        <f t="shared" si="63"/>
        <v>2338.7058141163288</v>
      </c>
      <c r="BP25" s="122">
        <f t="shared" si="63"/>
        <v>1199.6106278559446</v>
      </c>
      <c r="BQ25" s="122">
        <f t="shared" si="63"/>
        <v>4748.6380170992652</v>
      </c>
      <c r="BR25" s="122">
        <f t="shared" si="63"/>
        <v>5901.912499421449</v>
      </c>
      <c r="BS25" s="122">
        <f t="shared" si="63"/>
        <v>7631.5361664488428</v>
      </c>
      <c r="BT25" s="122">
        <f t="shared" si="63"/>
        <v>6918.2120115020352</v>
      </c>
      <c r="BU25" s="122">
        <f t="shared" si="63"/>
        <v>4545.7236357729125</v>
      </c>
      <c r="BV25" s="122">
        <f t="shared" si="63"/>
        <v>3257.3944153983039</v>
      </c>
      <c r="BW25" s="122">
        <f t="shared" si="63"/>
        <v>1230.2892641971885</v>
      </c>
      <c r="BX25" s="122">
        <f t="shared" ref="BX25" si="64">BX23-BX22</f>
        <v>7993.9084423173535</v>
      </c>
    </row>
    <row r="26" spans="1:76" s="18" customFormat="1" ht="12.75" customHeight="1" x14ac:dyDescent="0.25">
      <c r="A26" s="157" t="s">
        <v>113</v>
      </c>
      <c r="B26" s="165" t="str">
        <f t="shared" ref="B26:AG26" si="65">IF(B10=0,"-",B25/B10)</f>
        <v>-</v>
      </c>
      <c r="C26" s="165" t="str">
        <f t="shared" si="65"/>
        <v>-</v>
      </c>
      <c r="D26" s="165" t="str">
        <f t="shared" si="65"/>
        <v>-</v>
      </c>
      <c r="E26" s="165" t="str">
        <f t="shared" si="65"/>
        <v>-</v>
      </c>
      <c r="F26" s="165" t="str">
        <f t="shared" si="65"/>
        <v>-</v>
      </c>
      <c r="G26" s="165" t="str">
        <f t="shared" si="65"/>
        <v>-</v>
      </c>
      <c r="H26" s="165" t="str">
        <f t="shared" si="65"/>
        <v>-</v>
      </c>
      <c r="I26" s="165" t="str">
        <f t="shared" si="65"/>
        <v>-</v>
      </c>
      <c r="J26" s="165" t="str">
        <f t="shared" si="65"/>
        <v>-</v>
      </c>
      <c r="K26" s="165">
        <f t="shared" si="65"/>
        <v>0.45770116033352526</v>
      </c>
      <c r="L26" s="165">
        <f t="shared" si="65"/>
        <v>0.39266610589655482</v>
      </c>
      <c r="M26" s="165">
        <f t="shared" si="65"/>
        <v>0.29696702719701412</v>
      </c>
      <c r="N26" s="165">
        <f t="shared" si="65"/>
        <v>0.21975044441396097</v>
      </c>
      <c r="O26" s="165">
        <f t="shared" si="65"/>
        <v>-3.0855364212056716E-2</v>
      </c>
      <c r="P26" s="165">
        <f t="shared" si="65"/>
        <v>0.53525334883489395</v>
      </c>
      <c r="Q26" s="165">
        <f t="shared" si="65"/>
        <v>0.24747278619416582</v>
      </c>
      <c r="R26" s="165">
        <f t="shared" si="65"/>
        <v>7.2365593860507713E-2</v>
      </c>
      <c r="S26" s="165">
        <f t="shared" si="65"/>
        <v>0.30670506202024239</v>
      </c>
      <c r="T26" s="165">
        <f t="shared" si="65"/>
        <v>0.18581594691454872</v>
      </c>
      <c r="U26" s="165">
        <f t="shared" si="65"/>
        <v>0.51621337564997072</v>
      </c>
      <c r="V26" s="165">
        <f t="shared" si="65"/>
        <v>0.55677219027421565</v>
      </c>
      <c r="W26" s="165">
        <f t="shared" si="65"/>
        <v>0.59959982549897006</v>
      </c>
      <c r="X26" s="165">
        <f t="shared" si="65"/>
        <v>0.58372828785788045</v>
      </c>
      <c r="Y26" s="165">
        <f t="shared" si="65"/>
        <v>0.50709731528357638</v>
      </c>
      <c r="Z26" s="165">
        <f t="shared" si="65"/>
        <v>0.42164608521204799</v>
      </c>
      <c r="AA26" s="165">
        <f t="shared" si="65"/>
        <v>0.21622808403527236</v>
      </c>
      <c r="AB26" s="165">
        <f t="shared" si="65"/>
        <v>0.60725482485926718</v>
      </c>
      <c r="AC26" s="165">
        <f t="shared" si="65"/>
        <v>0.36129885905514086</v>
      </c>
      <c r="AD26" s="165">
        <f t="shared" si="65"/>
        <v>0.18609121361863873</v>
      </c>
      <c r="AE26" s="165">
        <f t="shared" si="65"/>
        <v>0.36169613696328451</v>
      </c>
      <c r="AF26" s="165">
        <f t="shared" si="65"/>
        <v>0.22465677114326049</v>
      </c>
      <c r="AG26" s="165">
        <f t="shared" si="65"/>
        <v>0.52172992066194523</v>
      </c>
      <c r="AH26" s="165">
        <f t="shared" ref="AH26:BM26" si="66">IF(AH10=0,"-",AH25/AH10)</f>
        <v>0.56151783194094196</v>
      </c>
      <c r="AI26" s="165">
        <f t="shared" si="66"/>
        <v>0.60353239012185178</v>
      </c>
      <c r="AJ26" s="165">
        <f t="shared" si="66"/>
        <v>0.58795914416716077</v>
      </c>
      <c r="AK26" s="165">
        <f t="shared" si="66"/>
        <v>0.51277510574674068</v>
      </c>
      <c r="AL26" s="165">
        <f t="shared" si="66"/>
        <v>0.4283516047063724</v>
      </c>
      <c r="AM26" s="165">
        <f t="shared" si="66"/>
        <v>0.22644214129799597</v>
      </c>
      <c r="AN26" s="165">
        <f t="shared" si="66"/>
        <v>0.61103289666767002</v>
      </c>
      <c r="AO26" s="165">
        <f t="shared" si="66"/>
        <v>0.36893248186766203</v>
      </c>
      <c r="AP26" s="165">
        <f t="shared" si="66"/>
        <v>0.19658240618444997</v>
      </c>
      <c r="AQ26" s="165">
        <f t="shared" si="66"/>
        <v>0.36931447985626148</v>
      </c>
      <c r="AR26" s="165">
        <f t="shared" si="66"/>
        <v>0.23442893141910098</v>
      </c>
      <c r="AS26" s="165">
        <f t="shared" si="66"/>
        <v>0.5269710915968816</v>
      </c>
      <c r="AT26" s="165">
        <f t="shared" si="66"/>
        <v>0.56602652733552716</v>
      </c>
      <c r="AU26" s="165">
        <f t="shared" si="66"/>
        <v>0.60726855992431994</v>
      </c>
      <c r="AV26" s="165">
        <f t="shared" si="66"/>
        <v>0.59197866041155689</v>
      </c>
      <c r="AW26" s="165">
        <f t="shared" si="66"/>
        <v>0.5181692137424474</v>
      </c>
      <c r="AX26" s="165">
        <f t="shared" si="66"/>
        <v>0.43472201580074971</v>
      </c>
      <c r="AY26" s="165">
        <f t="shared" si="66"/>
        <v>0.23614563349096182</v>
      </c>
      <c r="AZ26" s="165">
        <f t="shared" si="66"/>
        <v>0.61462207231922383</v>
      </c>
      <c r="BA26" s="165">
        <f t="shared" si="66"/>
        <v>0.37618435042079362</v>
      </c>
      <c r="BB26" s="165">
        <f t="shared" si="66"/>
        <v>0.20654881725717431</v>
      </c>
      <c r="BC26" s="165">
        <f t="shared" si="66"/>
        <v>0.37655165617906239</v>
      </c>
      <c r="BD26" s="165">
        <f t="shared" si="66"/>
        <v>0.24371205022904449</v>
      </c>
      <c r="BE26" s="165">
        <f t="shared" si="66"/>
        <v>0.5319499105065455</v>
      </c>
      <c r="BF26" s="165">
        <f t="shared" si="66"/>
        <v>0.57030948291430961</v>
      </c>
      <c r="BG26" s="165">
        <f t="shared" si="66"/>
        <v>0.610817624796964</v>
      </c>
      <c r="BH26" s="165">
        <f t="shared" si="66"/>
        <v>0.59579683485595725</v>
      </c>
      <c r="BI26" s="165">
        <f t="shared" si="66"/>
        <v>0.52329306190064473</v>
      </c>
      <c r="BJ26" s="165">
        <f t="shared" si="66"/>
        <v>0.44077317665687021</v>
      </c>
      <c r="BK26" s="165">
        <f t="shared" si="66"/>
        <v>0.24536272529814168</v>
      </c>
      <c r="BL26" s="165">
        <f t="shared" si="66"/>
        <v>0.61803129342391039</v>
      </c>
      <c r="BM26" s="165">
        <f t="shared" si="66"/>
        <v>0.38307253808535818</v>
      </c>
      <c r="BN26" s="165">
        <f t="shared" ref="BN26:BX26" si="67">IF(BN10=0,"-",BN25/BN10)</f>
        <v>0.21601529512834286</v>
      </c>
      <c r="BO26" s="165">
        <f t="shared" si="67"/>
        <v>0.38342571669907821</v>
      </c>
      <c r="BP26" s="165">
        <f t="shared" si="67"/>
        <v>0.25252929028899518</v>
      </c>
      <c r="BQ26" s="165">
        <f t="shared" si="67"/>
        <v>0.53667880510451615</v>
      </c>
      <c r="BR26" s="165">
        <f t="shared" si="67"/>
        <v>0.57437739361076146</v>
      </c>
      <c r="BS26" s="165">
        <f t="shared" si="67"/>
        <v>0.61606893479977198</v>
      </c>
      <c r="BT26" s="165">
        <f t="shared" si="67"/>
        <v>0.60144496532448222</v>
      </c>
      <c r="BU26" s="165">
        <f t="shared" si="67"/>
        <v>0.5308708106220198</v>
      </c>
      <c r="BV26" s="165">
        <f t="shared" si="67"/>
        <v>0.44972017591751989</v>
      </c>
      <c r="BW26" s="165">
        <f t="shared" si="67"/>
        <v>0.25898743102432281</v>
      </c>
      <c r="BX26" s="165">
        <f t="shared" si="67"/>
        <v>0.62306957758231596</v>
      </c>
    </row>
    <row r="27" spans="1:76" x14ac:dyDescent="0.25">
      <c r="B27" s="20"/>
      <c r="C27" s="20"/>
      <c r="D27" s="20"/>
      <c r="E27" s="20"/>
      <c r="F27" s="20"/>
      <c r="G27" s="20"/>
      <c r="Q27" s="20"/>
      <c r="R27" s="20"/>
      <c r="S27" s="20"/>
      <c r="T27" s="20"/>
      <c r="U27" s="20"/>
      <c r="V27" s="20"/>
      <c r="W27" s="20"/>
    </row>
    <row r="29" spans="1:76" x14ac:dyDescent="0.25">
      <c r="A29" s="16" t="s">
        <v>70</v>
      </c>
      <c r="D29" s="20"/>
      <c r="AP29" s="20"/>
    </row>
    <row r="31" spans="1:76" x14ac:dyDescent="0.25">
      <c r="A31" s="16" t="s">
        <v>150</v>
      </c>
    </row>
    <row r="32" spans="1:76" x14ac:dyDescent="0.25">
      <c r="A32" s="163" t="s">
        <v>71</v>
      </c>
      <c r="B32" s="185">
        <f>'План продаж'!C36</f>
        <v>2020</v>
      </c>
      <c r="C32" s="185">
        <f>'План продаж'!D36</f>
        <v>2021</v>
      </c>
      <c r="D32" s="185">
        <f>'План продаж'!E36</f>
        <v>2022</v>
      </c>
      <c r="E32" s="185">
        <f>'План продаж'!F36</f>
        <v>2023</v>
      </c>
      <c r="F32" s="185">
        <f>'План продаж'!G36</f>
        <v>2024</v>
      </c>
      <c r="G32" s="185">
        <f>'План продаж'!H36</f>
        <v>2025</v>
      </c>
      <c r="H32" s="185">
        <f>'План продаж'!I36</f>
        <v>2026</v>
      </c>
      <c r="I32" s="89" t="s">
        <v>50</v>
      </c>
      <c r="J32" s="13"/>
      <c r="K32" s="13"/>
      <c r="L32" s="13"/>
      <c r="M32" s="13"/>
      <c r="N32" s="13"/>
      <c r="O32" s="13"/>
      <c r="P32" s="13"/>
    </row>
    <row r="33" spans="1:16" x14ac:dyDescent="0.25">
      <c r="A33" s="157" t="s">
        <v>75</v>
      </c>
      <c r="B33" s="133">
        <f t="shared" ref="B33:H34" si="68">SUMIF($B$8:$BX$8,B$32,$B10:$BX10)</f>
        <v>0</v>
      </c>
      <c r="C33" s="133">
        <f>SUMIF($B$8:$BX$8,C$32,$B10:$BX10)</f>
        <v>29025.193516800005</v>
      </c>
      <c r="D33" s="133">
        <f t="shared" si="68"/>
        <v>81249.548769792033</v>
      </c>
      <c r="E33" s="133">
        <f t="shared" si="68"/>
        <v>86928.644922163207</v>
      </c>
      <c r="F33" s="133">
        <f t="shared" si="68"/>
        <v>90405.79071904975</v>
      </c>
      <c r="G33" s="133">
        <f t="shared" si="68"/>
        <v>94022.02234781174</v>
      </c>
      <c r="H33" s="133">
        <f t="shared" si="68"/>
        <v>97782.903241724212</v>
      </c>
      <c r="I33" s="137">
        <f>SUM(B33:H33)</f>
        <v>479414.10351734096</v>
      </c>
      <c r="J33" s="13"/>
      <c r="K33" s="13"/>
      <c r="L33" s="13"/>
      <c r="M33" s="13"/>
      <c r="N33" s="13"/>
      <c r="O33" s="13"/>
      <c r="P33" s="13"/>
    </row>
    <row r="34" spans="1:16" x14ac:dyDescent="0.25">
      <c r="A34" s="157" t="s">
        <v>104</v>
      </c>
      <c r="B34" s="133">
        <f t="shared" si="68"/>
        <v>371.37299999999999</v>
      </c>
      <c r="C34" s="133">
        <f t="shared" si="68"/>
        <v>19424.027149631293</v>
      </c>
      <c r="D34" s="133">
        <f t="shared" si="68"/>
        <v>43084.746577422411</v>
      </c>
      <c r="E34" s="133">
        <f t="shared" si="68"/>
        <v>44846.920050491775</v>
      </c>
      <c r="F34" s="133">
        <f t="shared" si="68"/>
        <v>46127.057995167066</v>
      </c>
      <c r="G34" s="133">
        <f t="shared" si="68"/>
        <v>47464.605592675885</v>
      </c>
      <c r="H34" s="133">
        <f t="shared" si="68"/>
        <v>48722.675895798217</v>
      </c>
      <c r="I34" s="137">
        <f>SUM(B34:H34)</f>
        <v>250041.40626118664</v>
      </c>
      <c r="J34" s="13"/>
      <c r="K34" s="13"/>
      <c r="L34" s="13"/>
      <c r="M34" s="13"/>
      <c r="N34" s="13"/>
      <c r="O34" s="13"/>
      <c r="P34" s="13"/>
    </row>
    <row r="35" spans="1:16" x14ac:dyDescent="0.25">
      <c r="A35" s="144" t="s">
        <v>105</v>
      </c>
      <c r="B35" s="139">
        <f t="shared" ref="B35:F35" si="69">B33-B34</f>
        <v>-371.37299999999999</v>
      </c>
      <c r="C35" s="139">
        <f t="shared" si="69"/>
        <v>9601.1663671687129</v>
      </c>
      <c r="D35" s="139">
        <f t="shared" si="69"/>
        <v>38164.802192369621</v>
      </c>
      <c r="E35" s="139">
        <f t="shared" si="69"/>
        <v>42081.724871671431</v>
      </c>
      <c r="F35" s="139">
        <f t="shared" si="69"/>
        <v>44278.732723882684</v>
      </c>
      <c r="G35" s="139">
        <f t="shared" ref="G35:H35" si="70">G33-G34</f>
        <v>46557.416755135855</v>
      </c>
      <c r="H35" s="139">
        <f t="shared" si="70"/>
        <v>49060.227345925996</v>
      </c>
      <c r="I35" s="139">
        <f>I33-I34</f>
        <v>229372.69725615432</v>
      </c>
      <c r="J35" s="13"/>
      <c r="K35" s="13"/>
      <c r="L35" s="13"/>
      <c r="M35" s="13"/>
      <c r="N35" s="13"/>
      <c r="O35" s="13"/>
      <c r="P35" s="13"/>
    </row>
    <row r="36" spans="1:16" x14ac:dyDescent="0.25">
      <c r="A36" s="164" t="s">
        <v>110</v>
      </c>
      <c r="B36" s="165" t="str">
        <f t="shared" ref="B36:F36" si="71">IF(B33=0,"-",B35/B33)</f>
        <v>-</v>
      </c>
      <c r="C36" s="165">
        <f t="shared" si="71"/>
        <v>0.33078733348018796</v>
      </c>
      <c r="D36" s="165">
        <f t="shared" si="71"/>
        <v>0.4697232510238753</v>
      </c>
      <c r="E36" s="165">
        <f t="shared" si="71"/>
        <v>0.48409502885213312</v>
      </c>
      <c r="F36" s="165">
        <f t="shared" si="71"/>
        <v>0.48977761680649229</v>
      </c>
      <c r="G36" s="165">
        <f t="shared" ref="G36:H36" si="72">IF(G33=0,"-",G35/G33)</f>
        <v>0.49517565770823296</v>
      </c>
      <c r="H36" s="165">
        <f t="shared" si="72"/>
        <v>0.50172602489257934</v>
      </c>
      <c r="I36" s="165">
        <f>IF(I33=0,"-",I35/I33)</f>
        <v>0.47844378288687045</v>
      </c>
      <c r="J36" s="13"/>
      <c r="K36" s="13"/>
      <c r="L36" s="13"/>
      <c r="M36" s="13"/>
      <c r="N36" s="13"/>
      <c r="O36" s="13"/>
      <c r="P36" s="13"/>
    </row>
    <row r="37" spans="1:16" x14ac:dyDescent="0.25">
      <c r="A37" s="166" t="s">
        <v>74</v>
      </c>
      <c r="B37" s="133">
        <f t="shared" ref="B37:H39" si="73">SUMIF($B$8:$BX$8,B$32,$B14:$BX14)</f>
        <v>0</v>
      </c>
      <c r="C37" s="133">
        <f t="shared" si="73"/>
        <v>0</v>
      </c>
      <c r="D37" s="133">
        <f t="shared" si="73"/>
        <v>0</v>
      </c>
      <c r="E37" s="133">
        <f t="shared" si="73"/>
        <v>0</v>
      </c>
      <c r="F37" s="133">
        <f t="shared" si="73"/>
        <v>0</v>
      </c>
      <c r="G37" s="133">
        <f t="shared" si="73"/>
        <v>0</v>
      </c>
      <c r="H37" s="133">
        <f t="shared" si="73"/>
        <v>0</v>
      </c>
      <c r="I37" s="137">
        <f>SUM(B37:H37)</f>
        <v>0</v>
      </c>
      <c r="J37" s="13"/>
      <c r="K37" s="13"/>
      <c r="L37" s="13"/>
      <c r="M37" s="13"/>
      <c r="N37" s="13"/>
      <c r="O37" s="13"/>
      <c r="P37" s="13"/>
    </row>
    <row r="38" spans="1:16" x14ac:dyDescent="0.25">
      <c r="A38" s="166" t="s">
        <v>67</v>
      </c>
      <c r="B38" s="133">
        <f t="shared" si="73"/>
        <v>0</v>
      </c>
      <c r="C38" s="133">
        <f t="shared" si="73"/>
        <v>0</v>
      </c>
      <c r="D38" s="133">
        <f t="shared" si="73"/>
        <v>0</v>
      </c>
      <c r="E38" s="133">
        <f t="shared" si="73"/>
        <v>0</v>
      </c>
      <c r="F38" s="133">
        <f t="shared" si="73"/>
        <v>0</v>
      </c>
      <c r="G38" s="133">
        <f t="shared" si="73"/>
        <v>0</v>
      </c>
      <c r="H38" s="133">
        <f t="shared" si="73"/>
        <v>0</v>
      </c>
      <c r="I38" s="137">
        <f t="shared" ref="I38:I39" si="74">SUM(B38:H38)</f>
        <v>0</v>
      </c>
      <c r="J38" s="13"/>
      <c r="K38" s="13"/>
      <c r="L38" s="13"/>
      <c r="M38" s="13"/>
      <c r="N38" s="13"/>
      <c r="O38" s="13"/>
      <c r="P38" s="13"/>
    </row>
    <row r="39" spans="1:16" x14ac:dyDescent="0.25">
      <c r="A39" s="157" t="s">
        <v>93</v>
      </c>
      <c r="B39" s="133">
        <f t="shared" si="73"/>
        <v>0</v>
      </c>
      <c r="C39" s="133">
        <f t="shared" si="73"/>
        <v>0</v>
      </c>
      <c r="D39" s="133">
        <f t="shared" si="73"/>
        <v>3619.82546</v>
      </c>
      <c r="E39" s="133">
        <f t="shared" si="73"/>
        <v>714.09237000000007</v>
      </c>
      <c r="F39" s="133">
        <f t="shared" si="73"/>
        <v>343.93756999999999</v>
      </c>
      <c r="G39" s="133">
        <f t="shared" si="73"/>
        <v>43.180100000000003</v>
      </c>
      <c r="H39" s="133">
        <f t="shared" si="73"/>
        <v>0</v>
      </c>
      <c r="I39" s="137">
        <f t="shared" si="74"/>
        <v>4721.0355</v>
      </c>
      <c r="J39" s="13"/>
      <c r="K39" s="13"/>
      <c r="L39" s="13"/>
      <c r="M39" s="13"/>
      <c r="N39" s="13"/>
      <c r="O39" s="13"/>
      <c r="P39" s="13"/>
    </row>
    <row r="40" spans="1:16" x14ac:dyDescent="0.25">
      <c r="A40" s="144" t="s">
        <v>106</v>
      </c>
      <c r="B40" s="139">
        <f>B35+B37-B38-B39</f>
        <v>-371.37299999999999</v>
      </c>
      <c r="C40" s="139">
        <f t="shared" ref="C40:F40" si="75">C35+C37-C38-C39</f>
        <v>9601.1663671687129</v>
      </c>
      <c r="D40" s="139">
        <f t="shared" si="75"/>
        <v>34544.976732369621</v>
      </c>
      <c r="E40" s="139">
        <f t="shared" si="75"/>
        <v>41367.632501671433</v>
      </c>
      <c r="F40" s="139">
        <f t="shared" si="75"/>
        <v>43934.795153882682</v>
      </c>
      <c r="G40" s="139">
        <f t="shared" ref="G40:I40" si="76">G35+G37-G38-G39</f>
        <v>46514.236655135857</v>
      </c>
      <c r="H40" s="139">
        <f t="shared" si="76"/>
        <v>49060.227345925996</v>
      </c>
      <c r="I40" s="139">
        <f t="shared" si="76"/>
        <v>224651.66175615432</v>
      </c>
      <c r="J40" s="13"/>
      <c r="K40" s="13"/>
      <c r="L40" s="13"/>
      <c r="M40" s="13"/>
      <c r="N40" s="13"/>
      <c r="O40" s="13"/>
      <c r="P40" s="13"/>
    </row>
    <row r="41" spans="1:16" x14ac:dyDescent="0.25">
      <c r="A41" s="157" t="s">
        <v>375</v>
      </c>
      <c r="B41" s="133">
        <f t="shared" ref="B41:H41" si="77">SUMIF($B$8:$BX$8,B$32,$B18:$BX18)</f>
        <v>0</v>
      </c>
      <c r="C41" s="133">
        <f t="shared" si="77"/>
        <v>1032.609616272</v>
      </c>
      <c r="D41" s="133">
        <f t="shared" si="77"/>
        <v>3221.8713580185604</v>
      </c>
      <c r="E41" s="133">
        <f t="shared" si="77"/>
        <v>3436.0735566643202</v>
      </c>
      <c r="F41" s="133">
        <f t="shared" si="77"/>
        <v>3573.5164989308932</v>
      </c>
      <c r="G41" s="133">
        <f t="shared" si="77"/>
        <v>3716.4571588881286</v>
      </c>
      <c r="H41" s="133">
        <f t="shared" si="77"/>
        <v>3865.1154452436544</v>
      </c>
      <c r="I41" s="137">
        <f>SUM(B41:H41)</f>
        <v>18845.643634017557</v>
      </c>
      <c r="J41" s="13"/>
      <c r="K41" s="13"/>
      <c r="L41" s="13"/>
      <c r="M41" s="13"/>
      <c r="N41" s="13"/>
      <c r="O41" s="13"/>
      <c r="P41" s="13"/>
    </row>
    <row r="42" spans="1:16" x14ac:dyDescent="0.25">
      <c r="A42" s="144" t="s">
        <v>107</v>
      </c>
      <c r="B42" s="121">
        <f t="shared" ref="B42:F42" si="78">B40-B41</f>
        <v>-371.37299999999999</v>
      </c>
      <c r="C42" s="121">
        <f t="shared" si="78"/>
        <v>8568.5567508967124</v>
      </c>
      <c r="D42" s="121">
        <f t="shared" si="78"/>
        <v>31323.10537435106</v>
      </c>
      <c r="E42" s="121">
        <f t="shared" si="78"/>
        <v>37931.558945007113</v>
      </c>
      <c r="F42" s="121">
        <f t="shared" si="78"/>
        <v>40361.278654951791</v>
      </c>
      <c r="G42" s="121">
        <f t="shared" ref="G42:H42" si="79">G40-G41</f>
        <v>42797.779496247727</v>
      </c>
      <c r="H42" s="121">
        <f t="shared" si="79"/>
        <v>45195.111900682343</v>
      </c>
      <c r="I42" s="121">
        <f>SUM(B42:H42)</f>
        <v>205806.01812213677</v>
      </c>
      <c r="J42" s="13"/>
      <c r="K42" s="13"/>
      <c r="L42" s="13"/>
      <c r="M42" s="13"/>
      <c r="N42" s="13"/>
      <c r="O42" s="13"/>
      <c r="P42" s="13"/>
    </row>
    <row r="43" spans="1:16" x14ac:dyDescent="0.25">
      <c r="A43" s="164" t="s">
        <v>147</v>
      </c>
      <c r="B43" s="155">
        <f>B42</f>
        <v>-371.37299999999999</v>
      </c>
      <c r="C43" s="155">
        <f>B43+C42</f>
        <v>8197.1837508967128</v>
      </c>
      <c r="D43" s="155">
        <f t="shared" ref="D43:F43" si="80">C43+D42</f>
        <v>39520.289125247771</v>
      </c>
      <c r="E43" s="155">
        <f t="shared" si="80"/>
        <v>77451.848070254884</v>
      </c>
      <c r="F43" s="155">
        <f t="shared" si="80"/>
        <v>117813.12672520668</v>
      </c>
      <c r="G43" s="155">
        <f t="shared" ref="G43" si="81">F43+G42</f>
        <v>160610.90622145441</v>
      </c>
      <c r="H43" s="155">
        <f t="shared" ref="H43" si="82">G43+H42</f>
        <v>205806.01812213677</v>
      </c>
      <c r="I43" s="155">
        <f>H43</f>
        <v>205806.01812213677</v>
      </c>
      <c r="J43" s="13"/>
      <c r="K43" s="13"/>
      <c r="L43" s="13"/>
      <c r="M43" s="13"/>
      <c r="N43" s="13"/>
      <c r="O43" s="13"/>
      <c r="P43" s="13"/>
    </row>
    <row r="44" spans="1:16" x14ac:dyDescent="0.25">
      <c r="A44" s="164" t="s">
        <v>111</v>
      </c>
      <c r="B44" s="266" t="str">
        <f t="shared" ref="B44:F44" si="83">IF(B33=0,"-",B42/B33)</f>
        <v>-</v>
      </c>
      <c r="C44" s="403">
        <f t="shared" si="83"/>
        <v>0.29521101197610156</v>
      </c>
      <c r="D44" s="403">
        <f t="shared" si="83"/>
        <v>0.38551728407871177</v>
      </c>
      <c r="E44" s="403">
        <f t="shared" si="83"/>
        <v>0.4363528153345933</v>
      </c>
      <c r="F44" s="403">
        <f t="shared" si="83"/>
        <v>0.44644572359729512</v>
      </c>
      <c r="G44" s="403">
        <f t="shared" ref="G44:H44" si="84">IF(G33=0,"-",G42/G33)</f>
        <v>0.45518888476922659</v>
      </c>
      <c r="H44" s="403">
        <f t="shared" si="84"/>
        <v>0.46219850712509297</v>
      </c>
      <c r="I44" s="403">
        <f>IF(I33=0,"-",I42/I33)</f>
        <v>0.42928653248243986</v>
      </c>
      <c r="J44" s="13"/>
      <c r="K44" s="13"/>
      <c r="L44" s="13"/>
      <c r="M44" s="13"/>
      <c r="N44" s="13"/>
      <c r="O44" s="13"/>
      <c r="P44" s="13"/>
    </row>
    <row r="45" spans="1:16" x14ac:dyDescent="0.25">
      <c r="A45" s="157" t="s">
        <v>66</v>
      </c>
      <c r="B45" s="133">
        <f>SUMIF($B$8:$BX$8,B$32,$B22:$BX22)</f>
        <v>0</v>
      </c>
      <c r="C45" s="133">
        <f>SUMIF($B$8:$BX$8,C$32,$B22:$BX22)</f>
        <v>3877.5844040685706</v>
      </c>
      <c r="D45" s="133">
        <f t="shared" ref="D45:H45" si="85">SUMIF($B$8:$BX$8,D$32,$B22:$BX22)</f>
        <v>7755.1688081371431</v>
      </c>
      <c r="E45" s="133">
        <f t="shared" si="85"/>
        <v>7755.1688081371431</v>
      </c>
      <c r="F45" s="133">
        <f t="shared" si="85"/>
        <v>7755.1688081371431</v>
      </c>
      <c r="G45" s="133">
        <f t="shared" si="85"/>
        <v>7755.1688081371431</v>
      </c>
      <c r="H45" s="133">
        <f t="shared" si="85"/>
        <v>7615.1688081371403</v>
      </c>
      <c r="I45" s="137">
        <f>SUM(B45:H45)</f>
        <v>42513.428444754281</v>
      </c>
      <c r="J45" s="13"/>
      <c r="K45" s="13"/>
      <c r="L45" s="13"/>
      <c r="M45" s="13"/>
      <c r="N45" s="13"/>
      <c r="O45" s="13"/>
      <c r="P45" s="13"/>
    </row>
    <row r="46" spans="1:16" x14ac:dyDescent="0.25">
      <c r="A46" s="157" t="s">
        <v>72</v>
      </c>
      <c r="B46" s="133">
        <f>SUMIF($B$8:$BX$8,B$32,$B23:$BX23)</f>
        <v>-371.37299999999999</v>
      </c>
      <c r="C46" s="133">
        <f>SUMIF($B$8:$BX$8,C$32,$B23:$BX23)</f>
        <v>13478.750771237286</v>
      </c>
      <c r="D46" s="133">
        <f t="shared" ref="D46:H46" si="86">SUMIF($B$8:$BX$8,D$32,$B23:$BX23)</f>
        <v>45919.971000506754</v>
      </c>
      <c r="E46" s="133">
        <f t="shared" si="86"/>
        <v>49836.893679808578</v>
      </c>
      <c r="F46" s="133">
        <f t="shared" si="86"/>
        <v>52033.901532019823</v>
      </c>
      <c r="G46" s="133">
        <f t="shared" si="86"/>
        <v>54312.585563273009</v>
      </c>
      <c r="H46" s="133">
        <f t="shared" si="86"/>
        <v>56675.396154063143</v>
      </c>
      <c r="I46" s="137">
        <f>SUM(B46:H46)</f>
        <v>271886.1257009086</v>
      </c>
      <c r="J46" s="13"/>
      <c r="K46" s="13"/>
      <c r="L46" s="13"/>
      <c r="M46" s="13"/>
      <c r="N46" s="13"/>
      <c r="O46" s="13"/>
      <c r="P46" s="13"/>
    </row>
    <row r="47" spans="1:16" x14ac:dyDescent="0.25">
      <c r="A47" s="157" t="s">
        <v>112</v>
      </c>
      <c r="B47" s="165" t="str">
        <f>IF(B33=0,"-",B46/B33)</f>
        <v>-</v>
      </c>
      <c r="C47" s="165">
        <f t="shared" ref="C47:F47" si="87">IF(C33=0,"-",C46/C33)</f>
        <v>0.46438108202226736</v>
      </c>
      <c r="D47" s="165">
        <f t="shared" si="87"/>
        <v>0.56517201259312655</v>
      </c>
      <c r="E47" s="165">
        <f t="shared" si="87"/>
        <v>0.57330807036544784</v>
      </c>
      <c r="F47" s="165">
        <f t="shared" si="87"/>
        <v>0.57555938749237179</v>
      </c>
      <c r="G47" s="165">
        <f t="shared" ref="G47" si="88">IF(G33=0,"-",G46/G33)</f>
        <v>0.5776581295215788</v>
      </c>
      <c r="H47" s="165">
        <f t="shared" ref="H47" si="89">IF(H33=0,"-",H46/H33)</f>
        <v>0.57960435081333939</v>
      </c>
      <c r="I47" s="165">
        <f>IF(I33=0,"-",I46/I33)</f>
        <v>0.56712166727292401</v>
      </c>
      <c r="J47" s="13"/>
      <c r="K47" s="13"/>
      <c r="L47" s="13"/>
      <c r="M47" s="13"/>
      <c r="N47" s="13"/>
      <c r="O47" s="13"/>
      <c r="P47" s="13"/>
    </row>
    <row r="48" spans="1:16" x14ac:dyDescent="0.25">
      <c r="A48" s="157" t="s">
        <v>73</v>
      </c>
      <c r="B48" s="133">
        <f>SUMIF($B$8:$BX$8,B$32,$B25:$BX25)</f>
        <v>-371.37299999999999</v>
      </c>
      <c r="C48" s="133">
        <f>SUMIF($B$8:$BX$8,C$32,$B25:$BX25)</f>
        <v>9601.1663671687147</v>
      </c>
      <c r="D48" s="133">
        <f t="shared" ref="D48:H48" si="90">SUMIF($B$8:$BX$8,D$32,$B25:$BX25)</f>
        <v>38164.802192369607</v>
      </c>
      <c r="E48" s="133">
        <f t="shared" si="90"/>
        <v>42081.724871671424</v>
      </c>
      <c r="F48" s="133">
        <f t="shared" si="90"/>
        <v>44278.732723882684</v>
      </c>
      <c r="G48" s="133">
        <f t="shared" si="90"/>
        <v>46557.416755135862</v>
      </c>
      <c r="H48" s="133">
        <f t="shared" si="90"/>
        <v>49060.22734592601</v>
      </c>
      <c r="I48" s="137">
        <f>SUM(B48:H48)</f>
        <v>229372.69725615432</v>
      </c>
      <c r="J48" s="13"/>
      <c r="K48" s="13"/>
      <c r="L48" s="13"/>
      <c r="M48" s="13"/>
      <c r="N48" s="13"/>
      <c r="O48" s="13"/>
      <c r="P48" s="13"/>
    </row>
    <row r="49" spans="1:16" x14ac:dyDescent="0.25">
      <c r="A49" s="157" t="s">
        <v>113</v>
      </c>
      <c r="B49" s="165" t="str">
        <f t="shared" ref="B49:F49" si="91">IF(B33=0,"-",B48/B33)</f>
        <v>-</v>
      </c>
      <c r="C49" s="165">
        <f t="shared" si="91"/>
        <v>0.33078733348018802</v>
      </c>
      <c r="D49" s="165">
        <f t="shared" si="91"/>
        <v>0.46972325102387513</v>
      </c>
      <c r="E49" s="165">
        <f t="shared" si="91"/>
        <v>0.48409502885213301</v>
      </c>
      <c r="F49" s="165">
        <f t="shared" si="91"/>
        <v>0.48977761680649229</v>
      </c>
      <c r="G49" s="165">
        <f t="shared" ref="G49" si="92">IF(G33=0,"-",G48/G33)</f>
        <v>0.49517565770823302</v>
      </c>
      <c r="H49" s="165">
        <f t="shared" ref="H49" si="93">IF(H33=0,"-",H48/H33)</f>
        <v>0.50172602489257945</v>
      </c>
      <c r="I49" s="165">
        <f>IF(I33=0,"-",I48/I33)</f>
        <v>0.47844378288687045</v>
      </c>
      <c r="J49" s="13"/>
      <c r="K49" s="13"/>
      <c r="L49" s="13"/>
      <c r="M49" s="13"/>
      <c r="N49" s="13"/>
      <c r="O49" s="13"/>
      <c r="P49" s="13"/>
    </row>
    <row r="53" spans="1:16" x14ac:dyDescent="0.25">
      <c r="B53" s="13" t="s">
        <v>366</v>
      </c>
      <c r="C53" s="13" t="s">
        <v>367</v>
      </c>
      <c r="D53" s="13" t="s">
        <v>368</v>
      </c>
      <c r="E53" s="13" t="s">
        <v>369</v>
      </c>
      <c r="F53" s="13" t="s">
        <v>370</v>
      </c>
    </row>
    <row r="55" spans="1:16" x14ac:dyDescent="0.25">
      <c r="A55" s="13" t="s">
        <v>155</v>
      </c>
      <c r="B55" s="284">
        <f>B42/1000</f>
        <v>-0.37137300000000001</v>
      </c>
      <c r="C55" s="284">
        <f t="shared" ref="C55:F55" si="94">C42/1000</f>
        <v>8.5685567508967129</v>
      </c>
      <c r="D55" s="284">
        <f t="shared" si="94"/>
        <v>31.323105374351059</v>
      </c>
      <c r="E55" s="284">
        <f t="shared" si="94"/>
        <v>37.931558945007112</v>
      </c>
      <c r="F55" s="284">
        <f t="shared" si="94"/>
        <v>40.361278654951789</v>
      </c>
    </row>
    <row r="56" spans="1:16" x14ac:dyDescent="0.25">
      <c r="A56" s="13" t="s">
        <v>373</v>
      </c>
      <c r="B56" s="283" t="str">
        <f>B44</f>
        <v>-</v>
      </c>
      <c r="C56" s="283">
        <f t="shared" ref="C56:F56" si="95">C44</f>
        <v>0.29521101197610156</v>
      </c>
      <c r="D56" s="283">
        <f t="shared" si="95"/>
        <v>0.38551728407871177</v>
      </c>
      <c r="E56" s="283">
        <f t="shared" si="95"/>
        <v>0.4363528153345933</v>
      </c>
      <c r="F56" s="283">
        <f t="shared" si="95"/>
        <v>0.44644572359729512</v>
      </c>
    </row>
    <row r="73" spans="3:3" x14ac:dyDescent="0.25">
      <c r="C73" s="18"/>
    </row>
  </sheetData>
  <mergeCells count="1">
    <mergeCell ref="A8:A9"/>
  </mergeCells>
  <phoneticPr fontId="6" type="noConversion"/>
  <pageMargins left="0.7" right="0.7" top="0.75" bottom="0.75" header="0.3" footer="0.3"/>
  <pageSetup paperSize="9" orientation="portrait" horizontalDpi="4294967293" verticalDpi="36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X83"/>
  <sheetViews>
    <sheetView showGridLines="0" topLeftCell="A67" workbookViewId="0">
      <selection activeCell="I80" sqref="I80"/>
    </sheetView>
  </sheetViews>
  <sheetFormatPr defaultColWidth="9.33203125" defaultRowHeight="13.2" x14ac:dyDescent="0.25"/>
  <cols>
    <col min="1" max="1" width="46.33203125" style="32" customWidth="1"/>
    <col min="2" max="5" width="11.109375" style="32" customWidth="1"/>
    <col min="6" max="7" width="11.109375" style="33" customWidth="1"/>
    <col min="8" max="76" width="11.109375" style="32" customWidth="1"/>
    <col min="77" max="16384" width="9.33203125" style="32"/>
  </cols>
  <sheetData>
    <row r="1" spans="1:76" s="376" customFormat="1" ht="28.5" customHeight="1" x14ac:dyDescent="0.3">
      <c r="A1" s="394" t="s">
        <v>163</v>
      </c>
    </row>
    <row r="2" spans="1:76" s="376" customFormat="1" ht="19.5" customHeight="1" x14ac:dyDescent="0.25">
      <c r="A2" s="393" t="str">
        <f>'План продаж'!A2</f>
        <v>Парк мобильных домов</v>
      </c>
    </row>
    <row r="3" spans="1:76" s="376" customFormat="1" ht="15" customHeight="1" x14ac:dyDescent="0.25">
      <c r="A3" s="378"/>
    </row>
    <row r="4" spans="1:76" s="12" customFormat="1" ht="21.75" customHeight="1" x14ac:dyDescent="0.25">
      <c r="A4" s="14"/>
      <c r="B4"/>
    </row>
    <row r="5" spans="1:76" s="13" customFormat="1" x14ac:dyDescent="0.25">
      <c r="A5" s="16" t="s">
        <v>76</v>
      </c>
      <c r="B5" s="16"/>
      <c r="C5" s="16"/>
      <c r="D5" s="16"/>
      <c r="E5" s="16"/>
      <c r="F5" s="17"/>
      <c r="G5" s="17"/>
      <c r="H5" s="3"/>
      <c r="I5" s="3"/>
      <c r="Q5" s="29"/>
    </row>
    <row r="6" spans="1:76" x14ac:dyDescent="0.25">
      <c r="A6" s="16"/>
      <c r="B6" s="16"/>
      <c r="C6" s="16"/>
      <c r="D6" s="16"/>
      <c r="E6" s="16"/>
    </row>
    <row r="7" spans="1:76" x14ac:dyDescent="0.25">
      <c r="A7" s="16" t="s">
        <v>152</v>
      </c>
      <c r="B7" s="16"/>
      <c r="C7" s="16"/>
      <c r="D7" s="34"/>
      <c r="E7" s="35"/>
      <c r="F7" s="35"/>
      <c r="G7" s="35"/>
      <c r="H7" s="35"/>
      <c r="I7" s="36"/>
    </row>
    <row r="8" spans="1:76" ht="12.75" customHeight="1" x14ac:dyDescent="0.25">
      <c r="A8" s="173"/>
      <c r="B8" s="185">
        <f>'План продаж'!C8</f>
        <v>2020</v>
      </c>
      <c r="C8" s="185">
        <f>'План продаж'!D8</f>
        <v>2020</v>
      </c>
      <c r="D8" s="185">
        <f>'План продаж'!E8</f>
        <v>2020</v>
      </c>
      <c r="E8" s="185">
        <f>'План продаж'!F8</f>
        <v>2021</v>
      </c>
      <c r="F8" s="185">
        <f>'План продаж'!G8</f>
        <v>2021</v>
      </c>
      <c r="G8" s="185">
        <f>'План продаж'!H8</f>
        <v>2021</v>
      </c>
      <c r="H8" s="185">
        <f>'План продаж'!I8</f>
        <v>2021</v>
      </c>
      <c r="I8" s="185">
        <f>'План продаж'!J8</f>
        <v>2021</v>
      </c>
      <c r="J8" s="185">
        <f>'План продаж'!K8</f>
        <v>2021</v>
      </c>
      <c r="K8" s="185">
        <f>'План продаж'!L8</f>
        <v>2021</v>
      </c>
      <c r="L8" s="185">
        <f>'План продаж'!M8</f>
        <v>2021</v>
      </c>
      <c r="M8" s="185">
        <f>'План продаж'!N8</f>
        <v>2021</v>
      </c>
      <c r="N8" s="185">
        <f>'План продаж'!O8</f>
        <v>2021</v>
      </c>
      <c r="O8" s="185">
        <f>'План продаж'!P8</f>
        <v>2021</v>
      </c>
      <c r="P8" s="185">
        <f>'План продаж'!Q8</f>
        <v>2021</v>
      </c>
      <c r="Q8" s="185">
        <f>'План продаж'!R8</f>
        <v>2022</v>
      </c>
      <c r="R8" s="185">
        <f>'План продаж'!S8</f>
        <v>2022</v>
      </c>
      <c r="S8" s="185">
        <f>'План продаж'!T8</f>
        <v>2022</v>
      </c>
      <c r="T8" s="185">
        <f>'План продаж'!U8</f>
        <v>2022</v>
      </c>
      <c r="U8" s="185">
        <f>'План продаж'!V8</f>
        <v>2022</v>
      </c>
      <c r="V8" s="185">
        <f>'План продаж'!W8</f>
        <v>2022</v>
      </c>
      <c r="W8" s="185">
        <f>'План продаж'!X8</f>
        <v>2022</v>
      </c>
      <c r="X8" s="185">
        <f>'План продаж'!Y8</f>
        <v>2022</v>
      </c>
      <c r="Y8" s="185">
        <f>'План продаж'!Z8</f>
        <v>2022</v>
      </c>
      <c r="Z8" s="185">
        <f>'План продаж'!AA8</f>
        <v>2022</v>
      </c>
      <c r="AA8" s="185">
        <f>'План продаж'!AB8</f>
        <v>2022</v>
      </c>
      <c r="AB8" s="185">
        <f>'План продаж'!AC8</f>
        <v>2022</v>
      </c>
      <c r="AC8" s="185">
        <f>'План продаж'!AD8</f>
        <v>2023</v>
      </c>
      <c r="AD8" s="185">
        <f>'План продаж'!AE8</f>
        <v>2023</v>
      </c>
      <c r="AE8" s="185">
        <f>'План продаж'!AF8</f>
        <v>2023</v>
      </c>
      <c r="AF8" s="185">
        <f>'План продаж'!AG8</f>
        <v>2023</v>
      </c>
      <c r="AG8" s="185">
        <f>'План продаж'!AH8</f>
        <v>2023</v>
      </c>
      <c r="AH8" s="185">
        <f>'План продаж'!AI8</f>
        <v>2023</v>
      </c>
      <c r="AI8" s="185">
        <f>'План продаж'!AJ8</f>
        <v>2023</v>
      </c>
      <c r="AJ8" s="185">
        <f>'План продаж'!AK8</f>
        <v>2023</v>
      </c>
      <c r="AK8" s="185">
        <f>'План продаж'!AL8</f>
        <v>2023</v>
      </c>
      <c r="AL8" s="185">
        <f>'План продаж'!AM8</f>
        <v>2023</v>
      </c>
      <c r="AM8" s="185">
        <f>'План продаж'!AN8</f>
        <v>2023</v>
      </c>
      <c r="AN8" s="185">
        <f>'План продаж'!AO8</f>
        <v>2023</v>
      </c>
      <c r="AO8" s="185">
        <f>'План продаж'!AP8</f>
        <v>2024</v>
      </c>
      <c r="AP8" s="185">
        <f>'План продаж'!AQ8</f>
        <v>2024</v>
      </c>
      <c r="AQ8" s="185">
        <f>'План продаж'!AR8</f>
        <v>2024</v>
      </c>
      <c r="AR8" s="185">
        <f>'План продаж'!AS8</f>
        <v>2024</v>
      </c>
      <c r="AS8" s="185">
        <f>'План продаж'!AT8</f>
        <v>2024</v>
      </c>
      <c r="AT8" s="185">
        <f>'План продаж'!AU8</f>
        <v>2024</v>
      </c>
      <c r="AU8" s="185">
        <f>'План продаж'!AV8</f>
        <v>2024</v>
      </c>
      <c r="AV8" s="185">
        <f>'План продаж'!AW8</f>
        <v>2024</v>
      </c>
      <c r="AW8" s="185">
        <f>'План продаж'!AX8</f>
        <v>2024</v>
      </c>
      <c r="AX8" s="185">
        <f>'План продаж'!AY8</f>
        <v>2024</v>
      </c>
      <c r="AY8" s="185">
        <f>'План продаж'!AZ8</f>
        <v>2024</v>
      </c>
      <c r="AZ8" s="185">
        <f>'План продаж'!BA8</f>
        <v>2024</v>
      </c>
      <c r="BA8" s="185">
        <f>'План продаж'!BB8</f>
        <v>2025</v>
      </c>
      <c r="BB8" s="185">
        <f>'План продаж'!BC8</f>
        <v>2025</v>
      </c>
      <c r="BC8" s="185">
        <f>'План продаж'!BD8</f>
        <v>2025</v>
      </c>
      <c r="BD8" s="185">
        <f>'План продаж'!BE8</f>
        <v>2025</v>
      </c>
      <c r="BE8" s="185">
        <f>'План продаж'!BF8</f>
        <v>2025</v>
      </c>
      <c r="BF8" s="185">
        <f>'План продаж'!BG8</f>
        <v>2025</v>
      </c>
      <c r="BG8" s="185">
        <f>'План продаж'!BH8</f>
        <v>2025</v>
      </c>
      <c r="BH8" s="185">
        <f>'План продаж'!BI8</f>
        <v>2025</v>
      </c>
      <c r="BI8" s="185">
        <f>'План продаж'!BJ8</f>
        <v>2025</v>
      </c>
      <c r="BJ8" s="185">
        <f>'План продаж'!BK8</f>
        <v>2025</v>
      </c>
      <c r="BK8" s="185">
        <f>'План продаж'!BL8</f>
        <v>2025</v>
      </c>
      <c r="BL8" s="185">
        <f>'План продаж'!BM8</f>
        <v>2025</v>
      </c>
      <c r="BM8" s="185">
        <f>'План продаж'!BN8</f>
        <v>2026</v>
      </c>
      <c r="BN8" s="185">
        <f>'План продаж'!BO8</f>
        <v>2026</v>
      </c>
      <c r="BO8" s="185">
        <f>'План продаж'!BP8</f>
        <v>2026</v>
      </c>
      <c r="BP8" s="185">
        <f>'План продаж'!BQ8</f>
        <v>2026</v>
      </c>
      <c r="BQ8" s="185">
        <f>'План продаж'!BR8</f>
        <v>2026</v>
      </c>
      <c r="BR8" s="185">
        <f>'План продаж'!BS8</f>
        <v>2026</v>
      </c>
      <c r="BS8" s="185">
        <f>'План продаж'!BT8</f>
        <v>2026</v>
      </c>
      <c r="BT8" s="185">
        <f>'План продаж'!BU8</f>
        <v>2026</v>
      </c>
      <c r="BU8" s="185">
        <f>'План продаж'!BV8</f>
        <v>2026</v>
      </c>
      <c r="BV8" s="185">
        <f>'План продаж'!BW8</f>
        <v>2026</v>
      </c>
      <c r="BW8" s="185">
        <f>'План продаж'!BX8</f>
        <v>2026</v>
      </c>
      <c r="BX8" s="185">
        <f>'План продаж'!BY8</f>
        <v>2026</v>
      </c>
    </row>
    <row r="9" spans="1:76" ht="12.75" customHeight="1" x14ac:dyDescent="0.25">
      <c r="A9" s="173"/>
      <c r="B9" s="396">
        <f>'План продаж'!C9</f>
        <v>44106</v>
      </c>
      <c r="C9" s="396">
        <f>'План продаж'!D9</f>
        <v>44137</v>
      </c>
      <c r="D9" s="396">
        <f>'План продаж'!E9</f>
        <v>44167</v>
      </c>
      <c r="E9" s="396">
        <f>'План продаж'!F9</f>
        <v>44198</v>
      </c>
      <c r="F9" s="396">
        <f>'План продаж'!G9</f>
        <v>44229</v>
      </c>
      <c r="G9" s="396">
        <f>'План продаж'!H9</f>
        <v>44257</v>
      </c>
      <c r="H9" s="396">
        <f>'План продаж'!I9</f>
        <v>44288</v>
      </c>
      <c r="I9" s="396">
        <f>'План продаж'!J9</f>
        <v>44318</v>
      </c>
      <c r="J9" s="396">
        <f>'План продаж'!K9</f>
        <v>44349</v>
      </c>
      <c r="K9" s="396">
        <f>'План продаж'!L9</f>
        <v>44379</v>
      </c>
      <c r="L9" s="396">
        <f>'План продаж'!M9</f>
        <v>44410</v>
      </c>
      <c r="M9" s="396">
        <f>'План продаж'!N9</f>
        <v>44441</v>
      </c>
      <c r="N9" s="396">
        <f>'План продаж'!O9</f>
        <v>44471</v>
      </c>
      <c r="O9" s="396">
        <f>'План продаж'!P9</f>
        <v>44502</v>
      </c>
      <c r="P9" s="396">
        <f>'План продаж'!Q9</f>
        <v>44532</v>
      </c>
      <c r="Q9" s="396">
        <f>'План продаж'!R9</f>
        <v>44563</v>
      </c>
      <c r="R9" s="396">
        <f>'План продаж'!S9</f>
        <v>44594</v>
      </c>
      <c r="S9" s="396">
        <f>'План продаж'!T9</f>
        <v>44622</v>
      </c>
      <c r="T9" s="396">
        <f>'План продаж'!U9</f>
        <v>44653</v>
      </c>
      <c r="U9" s="396">
        <f>'План продаж'!V9</f>
        <v>44683</v>
      </c>
      <c r="V9" s="396">
        <f>'План продаж'!W9</f>
        <v>44714</v>
      </c>
      <c r="W9" s="396">
        <f>'План продаж'!X9</f>
        <v>44744</v>
      </c>
      <c r="X9" s="396">
        <f>'План продаж'!Y9</f>
        <v>44775</v>
      </c>
      <c r="Y9" s="396">
        <f>'План продаж'!Z9</f>
        <v>44806</v>
      </c>
      <c r="Z9" s="396">
        <f>'План продаж'!AA9</f>
        <v>44836</v>
      </c>
      <c r="AA9" s="396">
        <f>'План продаж'!AB9</f>
        <v>44867</v>
      </c>
      <c r="AB9" s="396">
        <f>'План продаж'!AC9</f>
        <v>44897</v>
      </c>
      <c r="AC9" s="396">
        <f>'План продаж'!AD9</f>
        <v>44928</v>
      </c>
      <c r="AD9" s="396">
        <f>'План продаж'!AE9</f>
        <v>44959</v>
      </c>
      <c r="AE9" s="396">
        <f>'План продаж'!AF9</f>
        <v>44987</v>
      </c>
      <c r="AF9" s="396">
        <f>'План продаж'!AG9</f>
        <v>45018</v>
      </c>
      <c r="AG9" s="396">
        <f>'План продаж'!AH9</f>
        <v>45048</v>
      </c>
      <c r="AH9" s="396">
        <f>'План продаж'!AI9</f>
        <v>45079</v>
      </c>
      <c r="AI9" s="396">
        <f>'План продаж'!AJ9</f>
        <v>45109</v>
      </c>
      <c r="AJ9" s="396">
        <f>'План продаж'!AK9</f>
        <v>45140</v>
      </c>
      <c r="AK9" s="396">
        <f>'План продаж'!AL9</f>
        <v>45171</v>
      </c>
      <c r="AL9" s="396">
        <f>'План продаж'!AM9</f>
        <v>45201</v>
      </c>
      <c r="AM9" s="396">
        <f>'План продаж'!AN9</f>
        <v>45232</v>
      </c>
      <c r="AN9" s="396">
        <f>'План продаж'!AO9</f>
        <v>45262</v>
      </c>
      <c r="AO9" s="396">
        <f>'План продаж'!AP9</f>
        <v>45293</v>
      </c>
      <c r="AP9" s="396">
        <f>'План продаж'!AQ9</f>
        <v>45324</v>
      </c>
      <c r="AQ9" s="396">
        <f>'План продаж'!AR9</f>
        <v>45353</v>
      </c>
      <c r="AR9" s="396">
        <f>'План продаж'!AS9</f>
        <v>45384</v>
      </c>
      <c r="AS9" s="396">
        <f>'План продаж'!AT9</f>
        <v>45414</v>
      </c>
      <c r="AT9" s="396">
        <f>'План продаж'!AU9</f>
        <v>45445</v>
      </c>
      <c r="AU9" s="396">
        <f>'План продаж'!AV9</f>
        <v>45475</v>
      </c>
      <c r="AV9" s="396">
        <f>'План продаж'!AW9</f>
        <v>45506</v>
      </c>
      <c r="AW9" s="396">
        <f>'План продаж'!AX9</f>
        <v>45537</v>
      </c>
      <c r="AX9" s="396">
        <f>'План продаж'!AY9</f>
        <v>45567</v>
      </c>
      <c r="AY9" s="396">
        <f>'План продаж'!AZ9</f>
        <v>45598</v>
      </c>
      <c r="AZ9" s="396">
        <f>'План продаж'!BA9</f>
        <v>45628</v>
      </c>
      <c r="BA9" s="396">
        <f>'План продаж'!BB9</f>
        <v>45659</v>
      </c>
      <c r="BB9" s="396">
        <f>'План продаж'!BC9</f>
        <v>45690</v>
      </c>
      <c r="BC9" s="396">
        <f>'План продаж'!BD9</f>
        <v>45718</v>
      </c>
      <c r="BD9" s="396">
        <f>'План продаж'!BE9</f>
        <v>45749</v>
      </c>
      <c r="BE9" s="396">
        <f>'План продаж'!BF9</f>
        <v>45779</v>
      </c>
      <c r="BF9" s="396">
        <f>'План продаж'!BG9</f>
        <v>45810</v>
      </c>
      <c r="BG9" s="396">
        <f>'План продаж'!BH9</f>
        <v>45840</v>
      </c>
      <c r="BH9" s="396">
        <f>'План продаж'!BI9</f>
        <v>45871</v>
      </c>
      <c r="BI9" s="396">
        <f>'План продаж'!BJ9</f>
        <v>45902</v>
      </c>
      <c r="BJ9" s="396">
        <f>'План продаж'!BK9</f>
        <v>45932</v>
      </c>
      <c r="BK9" s="396">
        <f>'План продаж'!BL9</f>
        <v>45963</v>
      </c>
      <c r="BL9" s="396">
        <f>'План продаж'!BM9</f>
        <v>45993</v>
      </c>
      <c r="BM9" s="396">
        <f>'План продаж'!BN9</f>
        <v>46024</v>
      </c>
      <c r="BN9" s="396">
        <f>'План продаж'!BO9</f>
        <v>46055</v>
      </c>
      <c r="BO9" s="396">
        <f>'План продаж'!BP9</f>
        <v>46083</v>
      </c>
      <c r="BP9" s="396">
        <f>'План продаж'!BQ9</f>
        <v>46114</v>
      </c>
      <c r="BQ9" s="396">
        <f>'План продаж'!BR9</f>
        <v>46144</v>
      </c>
      <c r="BR9" s="396">
        <f>'План продаж'!BS9</f>
        <v>46175</v>
      </c>
      <c r="BS9" s="396">
        <f>'План продаж'!BT9</f>
        <v>46205</v>
      </c>
      <c r="BT9" s="396">
        <f>'План продаж'!BU9</f>
        <v>46236</v>
      </c>
      <c r="BU9" s="396">
        <f>'План продаж'!BV9</f>
        <v>46267</v>
      </c>
      <c r="BV9" s="396">
        <f>'План продаж'!BW9</f>
        <v>46297</v>
      </c>
      <c r="BW9" s="396">
        <f>'План продаж'!BX9</f>
        <v>46328</v>
      </c>
      <c r="BX9" s="396">
        <f>'План продаж'!BY9</f>
        <v>46358</v>
      </c>
    </row>
    <row r="10" spans="1:76" x14ac:dyDescent="0.25">
      <c r="A10" s="174" t="s">
        <v>125</v>
      </c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</row>
    <row r="11" spans="1:76" s="13" customFormat="1" x14ac:dyDescent="0.25">
      <c r="A11" s="176" t="s">
        <v>117</v>
      </c>
      <c r="B11" s="177">
        <f>'План продаж'!C27</f>
        <v>0</v>
      </c>
      <c r="C11" s="177">
        <f>'План продаж'!D27</f>
        <v>0</v>
      </c>
      <c r="D11" s="177">
        <f>'План продаж'!E27</f>
        <v>0</v>
      </c>
      <c r="E11" s="177">
        <f>'План продаж'!F27</f>
        <v>0</v>
      </c>
      <c r="F11" s="177">
        <f>'План продаж'!G27</f>
        <v>0</v>
      </c>
      <c r="G11" s="177">
        <f>'План продаж'!H27</f>
        <v>0</v>
      </c>
      <c r="H11" s="177">
        <f>'План продаж'!I27</f>
        <v>0</v>
      </c>
      <c r="I11" s="177">
        <f>'План продаж'!J27</f>
        <v>0</v>
      </c>
      <c r="J11" s="177">
        <f>'План продаж'!K27</f>
        <v>0</v>
      </c>
      <c r="K11" s="177">
        <f>'План продаж'!L27</f>
        <v>5090.7991679999996</v>
      </c>
      <c r="L11" s="177">
        <f>'План продаж'!M27</f>
        <v>5199.887721600001</v>
      </c>
      <c r="M11" s="177">
        <f>'План продаж'!N27</f>
        <v>4222.7827200000011</v>
      </c>
      <c r="N11" s="177">
        <f>'План продаж'!O27</f>
        <v>3869.6762832000004</v>
      </c>
      <c r="O11" s="177">
        <f>'План продаж'!P27</f>
        <v>2733.1274880000001</v>
      </c>
      <c r="P11" s="177">
        <f>'План продаж'!Q27</f>
        <v>7908.9201360000025</v>
      </c>
      <c r="Q11" s="177">
        <f>'План продаж'!R27</f>
        <v>4171.1036989440017</v>
      </c>
      <c r="R11" s="177">
        <f>'План продаж'!S27</f>
        <v>3221.4462658560014</v>
      </c>
      <c r="S11" s="177">
        <f>'План продаж'!T27</f>
        <v>4692.4916613120031</v>
      </c>
      <c r="T11" s="177">
        <f>'План продаж'!U27</f>
        <v>3857.6142259200019</v>
      </c>
      <c r="U11" s="177">
        <f>'План продаж'!V27</f>
        <v>7563.4730496000047</v>
      </c>
      <c r="V11" s="177">
        <f>'План продаж'!W27</f>
        <v>8783.388057600001</v>
      </c>
      <c r="W11" s="177">
        <f>'План продаж'!X27</f>
        <v>10588.862269440002</v>
      </c>
      <c r="X11" s="177">
        <f>'План продаж'!Y27</f>
        <v>9832.5149644800022</v>
      </c>
      <c r="Y11" s="177">
        <f>'План продаж'!Z27</f>
        <v>7319.4900480000006</v>
      </c>
      <c r="Z11" s="177">
        <f>'План продаж'!AA27</f>
        <v>6191.4820531200003</v>
      </c>
      <c r="AA11" s="177">
        <f>'План продаж'!AB27</f>
        <v>4060.6465536000001</v>
      </c>
      <c r="AB11" s="177">
        <f>'План продаж'!AC27</f>
        <v>10967.035921920002</v>
      </c>
      <c r="AC11" s="177">
        <f>'План продаж'!AD27</f>
        <v>5422.4348086272003</v>
      </c>
      <c r="AD11" s="177">
        <f>'План продаж'!AE27</f>
        <v>3941.5342546943998</v>
      </c>
      <c r="AE11" s="177">
        <f>'План продаж'!AF27</f>
        <v>5422.4348086272003</v>
      </c>
      <c r="AF11" s="177">
        <f>'План продаж'!AG27</f>
        <v>4223.072415744</v>
      </c>
      <c r="AG11" s="177">
        <f>'План продаж'!AH27</f>
        <v>7866.011971584001</v>
      </c>
      <c r="AH11" s="177">
        <f>'План продаж'!AI27</f>
        <v>9134.7235799040027</v>
      </c>
      <c r="AI11" s="177">
        <f>'План продаж'!AJ27</f>
        <v>11012.4167602176</v>
      </c>
      <c r="AJ11" s="177">
        <f>'План продаж'!AK27</f>
        <v>10225.815563059201</v>
      </c>
      <c r="AK11" s="177">
        <f>'План продаж'!AL27</f>
        <v>7612.269649920001</v>
      </c>
      <c r="AL11" s="177">
        <f>'План продаж'!AM27</f>
        <v>6439.1413352447998</v>
      </c>
      <c r="AM11" s="177">
        <f>'План продаж'!AN27</f>
        <v>4223.072415744</v>
      </c>
      <c r="AN11" s="177">
        <f>'План продаж'!AO27</f>
        <v>11405.717358796801</v>
      </c>
      <c r="AO11" s="177">
        <f>'План продаж'!AP27</f>
        <v>5639.3322009722897</v>
      </c>
      <c r="AP11" s="177">
        <f>'План продаж'!AQ27</f>
        <v>4099.1956248821771</v>
      </c>
      <c r="AQ11" s="177">
        <f>'План продаж'!AR27</f>
        <v>5639.3322009722897</v>
      </c>
      <c r="AR11" s="177">
        <f>'План продаж'!AS27</f>
        <v>4391.9953123737596</v>
      </c>
      <c r="AS11" s="177">
        <f>'План продаж'!AT27</f>
        <v>8180.6524504473618</v>
      </c>
      <c r="AT11" s="177">
        <f>'План продаж'!AU27</f>
        <v>9500.1125231001624</v>
      </c>
      <c r="AU11" s="177">
        <f>'План продаж'!AV27</f>
        <v>11452.913430626306</v>
      </c>
      <c r="AV11" s="177">
        <f>'План продаж'!AW27</f>
        <v>10634.848185581572</v>
      </c>
      <c r="AW11" s="177">
        <f>'План продаж'!AX27</f>
        <v>7916.7604359168008</v>
      </c>
      <c r="AX11" s="177">
        <f>'План продаж'!AY27</f>
        <v>6696.7069886545933</v>
      </c>
      <c r="AY11" s="177">
        <f>'План продаж'!AZ27</f>
        <v>4391.9953123737596</v>
      </c>
      <c r="AZ11" s="177">
        <f>'План продаж'!BA27</f>
        <v>11861.946053148673</v>
      </c>
      <c r="BA11" s="177">
        <f>'План продаж'!BB27</f>
        <v>5864.905489011182</v>
      </c>
      <c r="BB11" s="177">
        <f>'План продаж'!BC27</f>
        <v>4263.1634498774638</v>
      </c>
      <c r="BC11" s="177">
        <f>'План продаж'!BD27</f>
        <v>5864.905489011182</v>
      </c>
      <c r="BD11" s="177">
        <f>'План продаж'!BE27</f>
        <v>4567.6751248687106</v>
      </c>
      <c r="BE11" s="177">
        <f>'План продаж'!BF27</f>
        <v>8507.8785484652562</v>
      </c>
      <c r="BF11" s="177">
        <f>'План продаж'!BG27</f>
        <v>9880.1170240241681</v>
      </c>
      <c r="BG11" s="177">
        <f>'План продаж'!BH27</f>
        <v>11911.029967851358</v>
      </c>
      <c r="BH11" s="177">
        <f>'План продаж'!BI27</f>
        <v>11060.242113004835</v>
      </c>
      <c r="BI11" s="177">
        <f>'План продаж'!BJ27</f>
        <v>8233.430853353475</v>
      </c>
      <c r="BJ11" s="177">
        <f>'План продаж'!BK27</f>
        <v>6964.575268200776</v>
      </c>
      <c r="BK11" s="177">
        <f>'План продаж'!BL27</f>
        <v>4567.6751248687106</v>
      </c>
      <c r="BL11" s="177">
        <f>'План продаж'!BM27</f>
        <v>12336.423895274622</v>
      </c>
      <c r="BM11" s="177">
        <f>'План продаж'!BN27</f>
        <v>6099.501708571629</v>
      </c>
      <c r="BN11" s="177">
        <f>'План продаж'!BO27</f>
        <v>4433.6899878725626</v>
      </c>
      <c r="BO11" s="177">
        <f>'План продаж'!BP27</f>
        <v>6099.501708571629</v>
      </c>
      <c r="BP11" s="177">
        <f>'План продаж'!BQ27</f>
        <v>4750.3821298634593</v>
      </c>
      <c r="BQ11" s="177">
        <f>'План продаж'!BR27</f>
        <v>8848.1936904038648</v>
      </c>
      <c r="BR11" s="177">
        <f>'План продаж'!BS27</f>
        <v>10275.321704985137</v>
      </c>
      <c r="BS11" s="177">
        <f>'План продаж'!BT27</f>
        <v>12387.471166565414</v>
      </c>
      <c r="BT11" s="177">
        <f>'План продаж'!BU27</f>
        <v>11502.65179752503</v>
      </c>
      <c r="BU11" s="177">
        <f>'План продаж'!BV27</f>
        <v>8562.768087487615</v>
      </c>
      <c r="BV11" s="177">
        <f>'План продаж'!BW27</f>
        <v>7243.1582789288077</v>
      </c>
      <c r="BW11" s="177">
        <f>'План продаж'!BX27</f>
        <v>4750.3821298634593</v>
      </c>
      <c r="BX11" s="177">
        <f>'План продаж'!BY27</f>
        <v>12829.880851085607</v>
      </c>
    </row>
    <row r="12" spans="1:76" s="13" customFormat="1" x14ac:dyDescent="0.25">
      <c r="A12" s="176" t="s">
        <v>78</v>
      </c>
      <c r="B12" s="177">
        <f>ФОТ!B77-Налоги!B11</f>
        <v>87</v>
      </c>
      <c r="C12" s="177">
        <f>ФОТ!C77-Налоги!C11</f>
        <v>87</v>
      </c>
      <c r="D12" s="177">
        <f>ФОТ!D77-Налоги!D11</f>
        <v>87</v>
      </c>
      <c r="E12" s="177">
        <f>ФОТ!E77-Налоги!E11</f>
        <v>90.48</v>
      </c>
      <c r="F12" s="177">
        <f>ФОТ!F77-Налоги!F11</f>
        <v>90.48</v>
      </c>
      <c r="G12" s="177">
        <f>ФОТ!G77-Налоги!G11</f>
        <v>90.48</v>
      </c>
      <c r="H12" s="177">
        <f>ФОТ!H77-Налоги!H11</f>
        <v>90.48</v>
      </c>
      <c r="I12" s="177">
        <f>ФОТ!I77-Налоги!I11</f>
        <v>90.48</v>
      </c>
      <c r="J12" s="177">
        <f>ФОТ!J77-Налоги!J11</f>
        <v>280.488</v>
      </c>
      <c r="K12" s="177">
        <f>ФОТ!K77-Налоги!K11</f>
        <v>542.88</v>
      </c>
      <c r="L12" s="177">
        <f>ФОТ!L77-Налоги!L11</f>
        <v>827.89200000000005</v>
      </c>
      <c r="M12" s="177">
        <f>ФОТ!M77-Налоги!M11</f>
        <v>827.89200000000005</v>
      </c>
      <c r="N12" s="177">
        <f>ФОТ!N77-Налоги!N11</f>
        <v>827.89200000000005</v>
      </c>
      <c r="O12" s="177">
        <f>ФОТ!O77-Налоги!O11</f>
        <v>827.89200000000005</v>
      </c>
      <c r="P12" s="177">
        <f>ФОТ!P77-Налоги!P11</f>
        <v>827.89200000000005</v>
      </c>
      <c r="Q12" s="177">
        <f>ФОТ!Q77-Налоги!Q11</f>
        <v>861.00767999999994</v>
      </c>
      <c r="R12" s="177">
        <f>ФОТ!R77-Налоги!R11</f>
        <v>861.00767999999994</v>
      </c>
      <c r="S12" s="177">
        <f>ФОТ!S77-Налоги!S11</f>
        <v>861.00767999999994</v>
      </c>
      <c r="T12" s="177">
        <f>ФОТ!T77-Налоги!T11</f>
        <v>861.00767999999994</v>
      </c>
      <c r="U12" s="177">
        <f>ФОТ!U77-Налоги!U11</f>
        <v>861.00767999999994</v>
      </c>
      <c r="V12" s="177">
        <f>ФОТ!V77-Налоги!V11</f>
        <v>861.00767999999994</v>
      </c>
      <c r="W12" s="177">
        <f>ФОТ!W77-Налоги!W11</f>
        <v>861.00767999999994</v>
      </c>
      <c r="X12" s="177">
        <f>ФОТ!X77-Налоги!X11</f>
        <v>861.00767999999994</v>
      </c>
      <c r="Y12" s="177">
        <f>ФОТ!Y77-Налоги!Y11</f>
        <v>861.00767999999994</v>
      </c>
      <c r="Z12" s="177">
        <f>ФОТ!Z77-Налоги!Z11</f>
        <v>861.00767999999994</v>
      </c>
      <c r="AA12" s="177">
        <f>ФОТ!AA77-Налоги!AA11</f>
        <v>861.00767999999994</v>
      </c>
      <c r="AB12" s="177">
        <f>ФОТ!AB77-Налоги!AB11</f>
        <v>861.00767999999994</v>
      </c>
      <c r="AC12" s="177">
        <f>ФОТ!AC77-Налоги!AC11</f>
        <v>895.44798719999994</v>
      </c>
      <c r="AD12" s="177">
        <f>ФОТ!AD77-Налоги!AD11</f>
        <v>895.44798719999994</v>
      </c>
      <c r="AE12" s="177">
        <f>ФОТ!AE77-Налоги!AE11</f>
        <v>895.44798719999994</v>
      </c>
      <c r="AF12" s="177">
        <f>ФОТ!AF77-Налоги!AF11</f>
        <v>895.44798719999994</v>
      </c>
      <c r="AG12" s="177">
        <f>ФОТ!AG77-Налоги!AG11</f>
        <v>895.44798719999994</v>
      </c>
      <c r="AH12" s="177">
        <f>ФОТ!AH77-Налоги!AH11</f>
        <v>895.44798719999994</v>
      </c>
      <c r="AI12" s="177">
        <f>ФОТ!AI77-Налоги!AI11</f>
        <v>895.44798719999994</v>
      </c>
      <c r="AJ12" s="177">
        <f>ФОТ!AJ77-Налоги!AJ11</f>
        <v>895.44798719999994</v>
      </c>
      <c r="AK12" s="177">
        <f>ФОТ!AK77-Налоги!AK11</f>
        <v>895.44798719999994</v>
      </c>
      <c r="AL12" s="177">
        <f>ФОТ!AL77-Налоги!AL11</f>
        <v>895.44798719999994</v>
      </c>
      <c r="AM12" s="177">
        <f>ФОТ!AM77-Налоги!AM11</f>
        <v>895.44798719999994</v>
      </c>
      <c r="AN12" s="177">
        <f>ФОТ!AN77-Налоги!AN11</f>
        <v>895.44798719999994</v>
      </c>
      <c r="AO12" s="177">
        <f>ФОТ!AO77-Налоги!AO11</f>
        <v>931.26590668800031</v>
      </c>
      <c r="AP12" s="177">
        <f>ФОТ!AP77-Налоги!AP11</f>
        <v>931.26590668800031</v>
      </c>
      <c r="AQ12" s="177">
        <f>ФОТ!AQ77-Налоги!AQ11</f>
        <v>931.26590668800031</v>
      </c>
      <c r="AR12" s="177">
        <f>ФОТ!AR77-Налоги!AR11</f>
        <v>931.26590668800031</v>
      </c>
      <c r="AS12" s="177">
        <f>ФОТ!AS77-Налоги!AS11</f>
        <v>931.26590668800031</v>
      </c>
      <c r="AT12" s="177">
        <f>ФОТ!AT77-Налоги!AT11</f>
        <v>931.26590668800031</v>
      </c>
      <c r="AU12" s="177">
        <f>ФОТ!AU77-Налоги!AU11</f>
        <v>931.26590668800031</v>
      </c>
      <c r="AV12" s="177">
        <f>ФОТ!AV77-Налоги!AV11</f>
        <v>931.26590668800031</v>
      </c>
      <c r="AW12" s="177">
        <f>ФОТ!AW77-Налоги!AW11</f>
        <v>931.26590668800031</v>
      </c>
      <c r="AX12" s="177">
        <f>ФОТ!AX77-Налоги!AX11</f>
        <v>931.26590668800031</v>
      </c>
      <c r="AY12" s="177">
        <f>ФОТ!AY77-Налоги!AY11</f>
        <v>931.26590668800031</v>
      </c>
      <c r="AZ12" s="177">
        <f>ФОТ!AZ77-Налоги!AZ11</f>
        <v>931.26590668800031</v>
      </c>
      <c r="BA12" s="177">
        <f>ФОТ!BA77-Налоги!BA11</f>
        <v>968.51654295552021</v>
      </c>
      <c r="BB12" s="177">
        <f>ФОТ!BB77-Налоги!BB11</f>
        <v>968.51654295552021</v>
      </c>
      <c r="BC12" s="177">
        <f>ФОТ!BC77-Налоги!BC11</f>
        <v>968.51654295552021</v>
      </c>
      <c r="BD12" s="177">
        <f>ФОТ!BD77-Налоги!BD11</f>
        <v>968.51654295552021</v>
      </c>
      <c r="BE12" s="177">
        <f>ФОТ!BE77-Налоги!BE11</f>
        <v>968.51654295552021</v>
      </c>
      <c r="BF12" s="177">
        <f>ФОТ!BF77-Налоги!BF11</f>
        <v>968.51654295552021</v>
      </c>
      <c r="BG12" s="177">
        <f>ФОТ!BG77-Налоги!BG11</f>
        <v>968.51654295552021</v>
      </c>
      <c r="BH12" s="177">
        <f>ФОТ!BH77-Налоги!BH11</f>
        <v>968.51654295552021</v>
      </c>
      <c r="BI12" s="177">
        <f>ФОТ!BI77-Налоги!BI11</f>
        <v>968.51654295552021</v>
      </c>
      <c r="BJ12" s="177">
        <f>ФОТ!BJ77-Налоги!BJ11</f>
        <v>968.51654295552021</v>
      </c>
      <c r="BK12" s="177">
        <f>ФОТ!BK77-Налоги!BK11</f>
        <v>968.51654295552021</v>
      </c>
      <c r="BL12" s="177">
        <f>ФОТ!BL77-Налоги!BL11</f>
        <v>968.51654295552021</v>
      </c>
      <c r="BM12" s="177">
        <f>ФОТ!BM77-Налоги!BM11</f>
        <v>1007.2572046737409</v>
      </c>
      <c r="BN12" s="177">
        <f>ФОТ!BN77-Налоги!BN11</f>
        <v>1007.2572046737409</v>
      </c>
      <c r="BO12" s="177">
        <f>ФОТ!BO77-Налоги!BO11</f>
        <v>1007.2572046737409</v>
      </c>
      <c r="BP12" s="177">
        <f>ФОТ!BP77-Налоги!BP11</f>
        <v>1007.2572046737409</v>
      </c>
      <c r="BQ12" s="177">
        <f>ФОТ!BQ77-Налоги!BQ11</f>
        <v>1007.2572046737409</v>
      </c>
      <c r="BR12" s="177">
        <f>ФОТ!BR77-Налоги!BR11</f>
        <v>1007.2572046737409</v>
      </c>
      <c r="BS12" s="177">
        <f>ФОТ!BS77-Налоги!BS11</f>
        <v>1007.2572046737409</v>
      </c>
      <c r="BT12" s="177">
        <f>ФОТ!BT77-Налоги!BT11</f>
        <v>1007.2572046737409</v>
      </c>
      <c r="BU12" s="177">
        <f>ФОТ!BU77-Налоги!BU11</f>
        <v>1007.2572046737409</v>
      </c>
      <c r="BV12" s="177">
        <f>ФОТ!BV77-Налоги!BV11</f>
        <v>1007.2572046737409</v>
      </c>
      <c r="BW12" s="177">
        <f>ФОТ!BW77-Налоги!BW11</f>
        <v>1007.2572046737409</v>
      </c>
      <c r="BX12" s="177">
        <f>ФОТ!BX77-Налоги!BX11</f>
        <v>1007.2572046737409</v>
      </c>
    </row>
    <row r="13" spans="1:76" s="13" customFormat="1" x14ac:dyDescent="0.25">
      <c r="A13" s="176" t="s">
        <v>129</v>
      </c>
      <c r="B13" s="177">
        <f>SUM(Расходы!B15:B24)</f>
        <v>8.5909999999999993</v>
      </c>
      <c r="C13" s="177">
        <f>SUM(Расходы!C15:C24)</f>
        <v>8.5909999999999993</v>
      </c>
      <c r="D13" s="177">
        <f>SUM(Расходы!D15:D24)</f>
        <v>8.5909999999999993</v>
      </c>
      <c r="E13" s="177">
        <f>SUM(Расходы!E15:E24)</f>
        <v>8.9346399999999999</v>
      </c>
      <c r="F13" s="177">
        <f>SUM(Расходы!F15:F24)</f>
        <v>8.9346399999999999</v>
      </c>
      <c r="G13" s="177">
        <f>SUM(Расходы!G15:G24)</f>
        <v>8.9346399999999999</v>
      </c>
      <c r="H13" s="177">
        <f>SUM(Расходы!H15:H24)</f>
        <v>8.9346399999999999</v>
      </c>
      <c r="I13" s="177">
        <f>SUM(Расходы!I15:I24)</f>
        <v>8.9346399999999999</v>
      </c>
      <c r="J13" s="177">
        <f>SUM(Расходы!J15:J24)</f>
        <v>8.9346399999999999</v>
      </c>
      <c r="K13" s="177">
        <f>SUM(Расходы!K15:K24)</f>
        <v>1395.6224144366931</v>
      </c>
      <c r="L13" s="177">
        <f>SUM(Расходы!L15:L24)</f>
        <v>1415.5607915152575</v>
      </c>
      <c r="M13" s="177">
        <f>SUM(Расходы!M15:M24)</f>
        <v>1226.2482217979177</v>
      </c>
      <c r="N13" s="177">
        <f>SUM(Расходы!N15:N24)</f>
        <v>1276.8059328838738</v>
      </c>
      <c r="O13" s="177">
        <f>SUM(Расходы!O15:O24)</f>
        <v>1074.9518647354616</v>
      </c>
      <c r="P13" s="177">
        <f>SUM(Расходы!P15:P24)</f>
        <v>1933.1368801935143</v>
      </c>
      <c r="Q13" s="177">
        <f>SUM(Расходы!Q15:Q24)</f>
        <v>1352.5120497167768</v>
      </c>
      <c r="R13" s="177">
        <f>SUM(Расходы!R15:R24)</f>
        <v>1201.9673983928551</v>
      </c>
      <c r="S13" s="177">
        <f>SUM(Расходы!S15:S24)</f>
        <v>1466.9237199550726</v>
      </c>
      <c r="T13" s="177">
        <f>SUM(Расходы!T15:T24)</f>
        <v>1354.4509903548806</v>
      </c>
      <c r="U13" s="177">
        <f>SUM(Расходы!U15:U24)</f>
        <v>1872.7500996836468</v>
      </c>
      <c r="V13" s="177">
        <f>SUM(Расходы!V15:V24)</f>
        <v>2106.684855396898</v>
      </c>
      <c r="W13" s="177">
        <f>SUM(Расходы!W15:W24)</f>
        <v>2453.4253051063865</v>
      </c>
      <c r="X13" s="177">
        <f>SUM(Расходы!X15:X24)</f>
        <v>2306.64084358234</v>
      </c>
      <c r="Y13" s="177">
        <f>SUM(Расходы!Y15:Y24)</f>
        <v>1821.4393000695823</v>
      </c>
      <c r="Z13" s="177">
        <f>SUM(Расходы!Z15:Z24)</f>
        <v>1794.5108884165365</v>
      </c>
      <c r="AA13" s="177">
        <f>SUM(Расходы!AA15:AA24)</f>
        <v>1396.2637340258782</v>
      </c>
      <c r="AB13" s="177">
        <f>SUM(Расходы!AB15:AB24)</f>
        <v>2520.893448584417</v>
      </c>
      <c r="AC13" s="177">
        <f>SUM(Расходы!AC15:AC24)</f>
        <v>1631.3545865045489</v>
      </c>
      <c r="AD13" s="177">
        <f>SUM(Расходы!AD15:AD24)</f>
        <v>1376.0886492541204</v>
      </c>
      <c r="AE13" s="177">
        <f>SUM(Расходы!AE15:AE24)</f>
        <v>1629.2003729467333</v>
      </c>
      <c r="AF13" s="177">
        <f>SUM(Расходы!AF15:AF24)</f>
        <v>1442.3698900540214</v>
      </c>
      <c r="AG13" s="177">
        <f>SUM(Расходы!AG15:AG24)</f>
        <v>1930.1174572588066</v>
      </c>
      <c r="AH13" s="177">
        <f>SUM(Расходы!AH15:AH24)</f>
        <v>2173.4526874717449</v>
      </c>
      <c r="AI13" s="177">
        <f>SUM(Расходы!AI15:AI24)</f>
        <v>2534.1058394407701</v>
      </c>
      <c r="AJ13" s="177">
        <f>SUM(Расходы!AJ15:AJ24)</f>
        <v>2381.4930837269171</v>
      </c>
      <c r="AK13" s="177">
        <f>SUM(Расходы!AK15:AK24)</f>
        <v>1876.9265627448053</v>
      </c>
      <c r="AL13" s="177">
        <f>SUM(Расходы!AL15:AL24)</f>
        <v>1848.9640988967942</v>
      </c>
      <c r="AM13" s="177">
        <f>SUM(Расходы!AM15:AM24)</f>
        <v>1434.830142601666</v>
      </c>
      <c r="AN13" s="177">
        <f>SUM(Расходы!AN15:AN24)</f>
        <v>2604.4881300137026</v>
      </c>
      <c r="AO13" s="177">
        <f>SUM(Расходы!AO15:AO24)</f>
        <v>1679.4107977217961</v>
      </c>
      <c r="AP13" s="177">
        <f>SUM(Расходы!AP15:AP24)</f>
        <v>1413.977307252507</v>
      </c>
      <c r="AQ13" s="177">
        <f>SUM(Расходы!AQ15:AQ24)</f>
        <v>1677.2565841639803</v>
      </c>
      <c r="AR13" s="177">
        <f>SUM(Расходы!AR15:AR24)</f>
        <v>1482.9959662267165</v>
      </c>
      <c r="AS13" s="177">
        <f>SUM(Расходы!AS15:AS24)</f>
        <v>1990.2965203908493</v>
      </c>
      <c r="AT13" s="177">
        <f>SUM(Расходы!AT15:AT24)</f>
        <v>2243.4082440834618</v>
      </c>
      <c r="AU13" s="177">
        <f>SUM(Расходы!AU15:AU24)</f>
        <v>2618.5306064024035</v>
      </c>
      <c r="AV13" s="177">
        <f>SUM(Расходы!AV15:AV24)</f>
        <v>2459.8564247311538</v>
      </c>
      <c r="AW13" s="177">
        <f>SUM(Расходы!AW15:AW24)</f>
        <v>1935.1503271809133</v>
      </c>
      <c r="AX13" s="177">
        <f>SUM(Расходы!AX15:AX24)</f>
        <v>1906.1124490501386</v>
      </c>
      <c r="AY13" s="177">
        <f>SUM(Расходы!AY15:AY24)</f>
        <v>1475.4562187743609</v>
      </c>
      <c r="AZ13" s="177">
        <f>SUM(Расходы!AZ15:AZ24)</f>
        <v>2691.9436099540362</v>
      </c>
      <c r="BA13" s="177">
        <f>SUM(Расходы!BA15:BA24)</f>
        <v>1729.9062686416091</v>
      </c>
      <c r="BB13" s="177">
        <f>SUM(Расходы!BB15:BB24)</f>
        <v>1453.8985228247043</v>
      </c>
      <c r="BC13" s="177">
        <f>SUM(Расходы!BC15:BC24)</f>
        <v>1727.7520550837933</v>
      </c>
      <c r="BD13" s="177">
        <f>SUM(Расходы!BD15:BD24)</f>
        <v>1525.7640967001958</v>
      </c>
      <c r="BE13" s="177">
        <f>SUM(Расходы!BE15:BE24)</f>
        <v>2053.3997573020497</v>
      </c>
      <c r="BF13" s="177">
        <f>SUM(Расходы!BF15:BF24)</f>
        <v>2316.6790342135232</v>
      </c>
      <c r="BG13" s="177">
        <f>SUM(Расходы!BG15:BG24)</f>
        <v>2706.8493752963786</v>
      </c>
      <c r="BH13" s="177">
        <f>SUM(Расходы!BH15:BH24)</f>
        <v>2541.8713106294354</v>
      </c>
      <c r="BI13" s="177">
        <f>SUM(Расходы!BI15:BI24)</f>
        <v>1996.2200534483418</v>
      </c>
      <c r="BJ13" s="177">
        <f>SUM(Расходы!BJ15:BJ24)</f>
        <v>1966.0637444634917</v>
      </c>
      <c r="BK13" s="177">
        <f>SUM(Расходы!BK15:BK24)</f>
        <v>1518.2243492478401</v>
      </c>
      <c r="BL13" s="177">
        <f>SUM(Расходы!BL15:BL24)</f>
        <v>2783.4143203458575</v>
      </c>
      <c r="BM13" s="177">
        <f>SUM(Расходы!BM15:BM24)</f>
        <v>1782.9385696520903</v>
      </c>
      <c r="BN13" s="177">
        <f>SUM(Расходы!BN15:BN24)</f>
        <v>1495.9335982736659</v>
      </c>
      <c r="BO13" s="177">
        <f>SUM(Расходы!BO15:BO24)</f>
        <v>1780.7843560942742</v>
      </c>
      <c r="BP13" s="177">
        <f>SUM(Расходы!BP15:BP24)</f>
        <v>1570.759963646489</v>
      </c>
      <c r="BQ13" s="177">
        <f>SUM(Расходы!BQ15:BQ24)</f>
        <v>2119.5441349435741</v>
      </c>
      <c r="BR13" s="177">
        <f>SUM(Расходы!BR15:BR24)</f>
        <v>2393.397667202662</v>
      </c>
      <c r="BS13" s="177">
        <f>SUM(Расходы!BS15:BS24)</f>
        <v>2799.2567950888774</v>
      </c>
      <c r="BT13" s="177">
        <f>SUM(Расходы!BT15:BT24)</f>
        <v>2627.7615809953013</v>
      </c>
      <c r="BU13" s="177">
        <f>SUM(Расходы!BU15:BU24)</f>
        <v>2060.3662466870092</v>
      </c>
      <c r="BV13" s="177">
        <f>SUM(Расходы!BV15:BV24)</f>
        <v>2029.0856585028109</v>
      </c>
      <c r="BW13" s="177">
        <f>SUM(Расходы!BW15:BW24)</f>
        <v>1563.414660638578</v>
      </c>
      <c r="BX13" s="177">
        <f>SUM(Расходы!BX15:BX24)</f>
        <v>2879.2942037405614</v>
      </c>
    </row>
    <row r="14" spans="1:76" s="13" customFormat="1" x14ac:dyDescent="0.25">
      <c r="A14" s="176" t="s">
        <v>128</v>
      </c>
      <c r="B14" s="177">
        <f>Налоги!B10</f>
        <v>28.200000000000003</v>
      </c>
      <c r="C14" s="177">
        <f>Налоги!C10</f>
        <v>28.200000000000003</v>
      </c>
      <c r="D14" s="177">
        <f>Налоги!D10</f>
        <v>28.200000000000003</v>
      </c>
      <c r="E14" s="177">
        <f>Налоги!E10</f>
        <v>29.328000000000003</v>
      </c>
      <c r="F14" s="177">
        <f>Налоги!F10</f>
        <v>29.328000000000003</v>
      </c>
      <c r="G14" s="177">
        <f>Налоги!G10</f>
        <v>29.328000000000003</v>
      </c>
      <c r="H14" s="177">
        <f>Налоги!H10</f>
        <v>29.328000000000003</v>
      </c>
      <c r="I14" s="177">
        <f>Налоги!I10</f>
        <v>29.328000000000003</v>
      </c>
      <c r="J14" s="177">
        <f>Налоги!J10</f>
        <v>90.916799999999995</v>
      </c>
      <c r="K14" s="177">
        <f>Налоги!K10</f>
        <v>386.56795007999995</v>
      </c>
      <c r="L14" s="177">
        <f>Налоги!L10</f>
        <v>435.70126329600009</v>
      </c>
      <c r="M14" s="177">
        <f>Налоги!M10</f>
        <v>395.03468160000006</v>
      </c>
      <c r="N14" s="177">
        <f>Налоги!N10</f>
        <v>384.44148849600003</v>
      </c>
      <c r="O14" s="177">
        <f>Налоги!O10</f>
        <v>350.34502464000002</v>
      </c>
      <c r="P14" s="177">
        <f>Налоги!P10</f>
        <v>598.24320816000022</v>
      </c>
      <c r="Q14" s="177">
        <f>Налоги!Q10</f>
        <v>404.2183589683201</v>
      </c>
      <c r="R14" s="177">
        <f>Налоги!R10</f>
        <v>375.72863597568005</v>
      </c>
      <c r="S14" s="177">
        <f>Налоги!S10</f>
        <v>419.85999783936006</v>
      </c>
      <c r="T14" s="177">
        <f>Налоги!T10</f>
        <v>394.81367477760006</v>
      </c>
      <c r="U14" s="177">
        <f>Налоги!U10</f>
        <v>582.46470297600024</v>
      </c>
      <c r="V14" s="177">
        <f>Налоги!V10</f>
        <v>655.65960345600001</v>
      </c>
      <c r="W14" s="177">
        <f>Налоги!W10</f>
        <v>763.98805616640016</v>
      </c>
      <c r="X14" s="177">
        <f>Налоги!X10</f>
        <v>718.60721786880003</v>
      </c>
      <c r="Y14" s="177">
        <f>Налоги!Y10</f>
        <v>567.82572287999994</v>
      </c>
      <c r="Z14" s="177">
        <f>Налоги!Z10</f>
        <v>500.14524318719998</v>
      </c>
      <c r="AA14" s="177">
        <f>Налоги!AA10</f>
        <v>400.90464460800001</v>
      </c>
      <c r="AB14" s="177">
        <f>Налоги!AB10</f>
        <v>786.6784753152001</v>
      </c>
      <c r="AC14" s="177">
        <f>Налоги!AC10</f>
        <v>459.14866131763199</v>
      </c>
      <c r="AD14" s="177">
        <f>Налоги!AD10</f>
        <v>408.49468556083201</v>
      </c>
      <c r="AE14" s="177">
        <f>Налоги!AE10</f>
        <v>459.14866131763199</v>
      </c>
      <c r="AF14" s="177">
        <f>Налоги!AF10</f>
        <v>416.94083039232004</v>
      </c>
      <c r="AG14" s="177">
        <f>Налоги!AG10</f>
        <v>605.76329109504013</v>
      </c>
      <c r="AH14" s="177">
        <f>Налоги!AH10</f>
        <v>681.88598759424019</v>
      </c>
      <c r="AI14" s="177">
        <f>Налоги!AI10</f>
        <v>794.54757841305604</v>
      </c>
      <c r="AJ14" s="177">
        <f>Налоги!AJ10</f>
        <v>747.35150658355201</v>
      </c>
      <c r="AK14" s="177">
        <f>Налоги!AK10</f>
        <v>590.53875179520003</v>
      </c>
      <c r="AL14" s="177">
        <f>Налоги!AL10</f>
        <v>520.15105291468797</v>
      </c>
      <c r="AM14" s="177">
        <f>Налоги!AM10</f>
        <v>416.94083039232004</v>
      </c>
      <c r="AN14" s="177">
        <f>Налоги!AN10</f>
        <v>818.14561432780806</v>
      </c>
      <c r="AO14" s="177">
        <f>Налоги!AO10</f>
        <v>477.51460777033742</v>
      </c>
      <c r="AP14" s="177">
        <f>Налоги!AP10</f>
        <v>424.83447298326541</v>
      </c>
      <c r="AQ14" s="177">
        <f>Налоги!AQ10</f>
        <v>477.51460777033742</v>
      </c>
      <c r="AR14" s="177">
        <f>Налоги!AR10</f>
        <v>433.61846360801286</v>
      </c>
      <c r="AS14" s="177">
        <f>Налоги!AS10</f>
        <v>629.9938227388418</v>
      </c>
      <c r="AT14" s="177">
        <f>Налоги!AT10</f>
        <v>709.16142709800977</v>
      </c>
      <c r="AU14" s="177">
        <f>Налоги!AU10</f>
        <v>826.32948154957842</v>
      </c>
      <c r="AV14" s="177">
        <f>Налоги!AV10</f>
        <v>777.24556684689435</v>
      </c>
      <c r="AW14" s="177">
        <f>Налоги!AW10</f>
        <v>614.160301867008</v>
      </c>
      <c r="AX14" s="177">
        <f>Налоги!AX10</f>
        <v>540.95709503127568</v>
      </c>
      <c r="AY14" s="177">
        <f>Налоги!AY10</f>
        <v>433.61846360801286</v>
      </c>
      <c r="AZ14" s="177">
        <f>Налоги!AZ10</f>
        <v>850.87143890092045</v>
      </c>
      <c r="BA14" s="177">
        <f>Налоги!BA10</f>
        <v>496.61519208115089</v>
      </c>
      <c r="BB14" s="177">
        <f>Налоги!BB10</f>
        <v>441.82785190259602</v>
      </c>
      <c r="BC14" s="177">
        <f>Налоги!BC10</f>
        <v>496.61519208115089</v>
      </c>
      <c r="BD14" s="177">
        <f>Налоги!BD10</f>
        <v>450.96320215233345</v>
      </c>
      <c r="BE14" s="177">
        <f>Налоги!BE10</f>
        <v>655.19357564839538</v>
      </c>
      <c r="BF14" s="177">
        <f>Налоги!BF10</f>
        <v>737.52788418193006</v>
      </c>
      <c r="BG14" s="177">
        <f>Налоги!BG10</f>
        <v>859.38266081156144</v>
      </c>
      <c r="BH14" s="177">
        <f>Налоги!BH10</f>
        <v>808.33538952077015</v>
      </c>
      <c r="BI14" s="177">
        <f>Налоги!BI10</f>
        <v>638.72671394168856</v>
      </c>
      <c r="BJ14" s="177">
        <f>Налоги!BJ10</f>
        <v>562.59537883252654</v>
      </c>
      <c r="BK14" s="177">
        <f>Налоги!BK10</f>
        <v>450.96320215233345</v>
      </c>
      <c r="BL14" s="177">
        <f>Налоги!BL10</f>
        <v>884.90629645695731</v>
      </c>
      <c r="BM14" s="177">
        <f>Налоги!BM10</f>
        <v>516.47979976439694</v>
      </c>
      <c r="BN14" s="177">
        <f>Налоги!BN10</f>
        <v>459.50096597869981</v>
      </c>
      <c r="BO14" s="177">
        <f>Налоги!BO10</f>
        <v>516.47979976439694</v>
      </c>
      <c r="BP14" s="177">
        <f>Налоги!BP10</f>
        <v>469.00173023842672</v>
      </c>
      <c r="BQ14" s="177">
        <f>Налоги!BQ10</f>
        <v>681.40131867433104</v>
      </c>
      <c r="BR14" s="177">
        <f>Налоги!BR10</f>
        <v>767.02899954920736</v>
      </c>
      <c r="BS14" s="177">
        <f>Налоги!BS10</f>
        <v>893.75796724402403</v>
      </c>
      <c r="BT14" s="177">
        <f>Налоги!BT10</f>
        <v>840.66880510160092</v>
      </c>
      <c r="BU14" s="177">
        <f>Налоги!BU10</f>
        <v>664.27578249935607</v>
      </c>
      <c r="BV14" s="177">
        <f>Налоги!BV10</f>
        <v>585.09919398582758</v>
      </c>
      <c r="BW14" s="177">
        <f>Налоги!BW10</f>
        <v>469.00173023842672</v>
      </c>
      <c r="BX14" s="177">
        <f>Налоги!BX10</f>
        <v>920.30254831523553</v>
      </c>
    </row>
    <row r="15" spans="1:76" s="13" customFormat="1" x14ac:dyDescent="0.25">
      <c r="A15" s="176" t="s">
        <v>118</v>
      </c>
      <c r="B15" s="177">
        <f>B11-SUM(B12:B14)</f>
        <v>-123.791</v>
      </c>
      <c r="C15" s="177">
        <f t="shared" ref="C15:BN15" si="0">C11-SUM(C12:C14)</f>
        <v>-123.791</v>
      </c>
      <c r="D15" s="177">
        <f t="shared" si="0"/>
        <v>-123.791</v>
      </c>
      <c r="E15" s="177">
        <f t="shared" si="0"/>
        <v>-128.74263999999999</v>
      </c>
      <c r="F15" s="177">
        <f t="shared" si="0"/>
        <v>-128.74263999999999</v>
      </c>
      <c r="G15" s="177">
        <f t="shared" si="0"/>
        <v>-128.74263999999999</v>
      </c>
      <c r="H15" s="177">
        <f t="shared" si="0"/>
        <v>-128.74263999999999</v>
      </c>
      <c r="I15" s="177">
        <f t="shared" si="0"/>
        <v>-128.74263999999999</v>
      </c>
      <c r="J15" s="177">
        <f t="shared" si="0"/>
        <v>-380.33943999999997</v>
      </c>
      <c r="K15" s="177">
        <f t="shared" si="0"/>
        <v>2765.7288034833064</v>
      </c>
      <c r="L15" s="177">
        <f t="shared" si="0"/>
        <v>2520.7336667887434</v>
      </c>
      <c r="M15" s="177">
        <f t="shared" si="0"/>
        <v>1773.6078166020834</v>
      </c>
      <c r="N15" s="177">
        <f t="shared" si="0"/>
        <v>1380.5368618201264</v>
      </c>
      <c r="O15" s="177">
        <f t="shared" si="0"/>
        <v>479.93859862453837</v>
      </c>
      <c r="P15" s="177">
        <f t="shared" si="0"/>
        <v>4549.6480476464876</v>
      </c>
      <c r="Q15" s="177">
        <f t="shared" si="0"/>
        <v>1553.3656102589048</v>
      </c>
      <c r="R15" s="177">
        <f t="shared" si="0"/>
        <v>782.7425514874667</v>
      </c>
      <c r="S15" s="177">
        <f t="shared" si="0"/>
        <v>1944.7002635175709</v>
      </c>
      <c r="T15" s="177">
        <f t="shared" si="0"/>
        <v>1247.3418807875214</v>
      </c>
      <c r="U15" s="177">
        <f t="shared" si="0"/>
        <v>4247.2505669403581</v>
      </c>
      <c r="V15" s="177">
        <f t="shared" si="0"/>
        <v>5160.0359187471031</v>
      </c>
      <c r="W15" s="177">
        <f t="shared" si="0"/>
        <v>6510.4412281672148</v>
      </c>
      <c r="X15" s="177">
        <f t="shared" si="0"/>
        <v>5946.2592230288619</v>
      </c>
      <c r="Y15" s="177">
        <f t="shared" si="0"/>
        <v>4069.2173450504183</v>
      </c>
      <c r="Z15" s="177">
        <f t="shared" si="0"/>
        <v>3035.8182415162642</v>
      </c>
      <c r="AA15" s="177">
        <f t="shared" si="0"/>
        <v>1402.4704949661218</v>
      </c>
      <c r="AB15" s="177">
        <f t="shared" si="0"/>
        <v>6798.4563180203841</v>
      </c>
      <c r="AC15" s="177">
        <f t="shared" si="0"/>
        <v>2436.483573605019</v>
      </c>
      <c r="AD15" s="177">
        <f t="shared" si="0"/>
        <v>1261.5029326794474</v>
      </c>
      <c r="AE15" s="177">
        <f t="shared" si="0"/>
        <v>2438.6377871628347</v>
      </c>
      <c r="AF15" s="177">
        <f t="shared" si="0"/>
        <v>1468.3137080976585</v>
      </c>
      <c r="AG15" s="177">
        <f t="shared" si="0"/>
        <v>4434.6832360301541</v>
      </c>
      <c r="AH15" s="177">
        <f t="shared" si="0"/>
        <v>5383.9369176380169</v>
      </c>
      <c r="AI15" s="177">
        <f t="shared" si="0"/>
        <v>6788.3153551637743</v>
      </c>
      <c r="AJ15" s="177">
        <f t="shared" si="0"/>
        <v>6201.5229855487323</v>
      </c>
      <c r="AK15" s="177">
        <f t="shared" si="0"/>
        <v>4249.3563481799956</v>
      </c>
      <c r="AL15" s="177">
        <f t="shared" si="0"/>
        <v>3174.5781962333176</v>
      </c>
      <c r="AM15" s="177">
        <f t="shared" si="0"/>
        <v>1475.8534555500137</v>
      </c>
      <c r="AN15" s="177">
        <f t="shared" si="0"/>
        <v>7087.6356272552903</v>
      </c>
      <c r="AO15" s="177">
        <f t="shared" si="0"/>
        <v>2551.1408887921557</v>
      </c>
      <c r="AP15" s="177">
        <f t="shared" si="0"/>
        <v>1329.1179379584046</v>
      </c>
      <c r="AQ15" s="177">
        <f t="shared" si="0"/>
        <v>2553.2951023499718</v>
      </c>
      <c r="AR15" s="177">
        <f t="shared" si="0"/>
        <v>1544.1149758510296</v>
      </c>
      <c r="AS15" s="177">
        <f t="shared" si="0"/>
        <v>4629.0962006296704</v>
      </c>
      <c r="AT15" s="177">
        <f t="shared" si="0"/>
        <v>5616.2769452306902</v>
      </c>
      <c r="AU15" s="177">
        <f t="shared" si="0"/>
        <v>7076.7874359863235</v>
      </c>
      <c r="AV15" s="177">
        <f t="shared" si="0"/>
        <v>6466.4802873155231</v>
      </c>
      <c r="AW15" s="177">
        <f t="shared" si="0"/>
        <v>4436.1839001808785</v>
      </c>
      <c r="AX15" s="177">
        <f t="shared" si="0"/>
        <v>3318.3715378851784</v>
      </c>
      <c r="AY15" s="177">
        <f t="shared" si="0"/>
        <v>1551.6547233033857</v>
      </c>
      <c r="AZ15" s="177">
        <f t="shared" si="0"/>
        <v>7387.8650976057161</v>
      </c>
      <c r="BA15" s="177">
        <f t="shared" si="0"/>
        <v>2669.8674853329021</v>
      </c>
      <c r="BB15" s="177">
        <f t="shared" si="0"/>
        <v>1398.9205321946429</v>
      </c>
      <c r="BC15" s="177">
        <f t="shared" si="0"/>
        <v>2672.0216988907177</v>
      </c>
      <c r="BD15" s="177">
        <f t="shared" si="0"/>
        <v>1622.4312830606609</v>
      </c>
      <c r="BE15" s="177">
        <f t="shared" si="0"/>
        <v>4830.7686725592912</v>
      </c>
      <c r="BF15" s="177">
        <f t="shared" si="0"/>
        <v>5857.3935626731945</v>
      </c>
      <c r="BG15" s="177">
        <f t="shared" si="0"/>
        <v>7376.2813887878983</v>
      </c>
      <c r="BH15" s="177">
        <f t="shared" si="0"/>
        <v>6741.5188698991096</v>
      </c>
      <c r="BI15" s="177">
        <f t="shared" si="0"/>
        <v>4629.9675430079242</v>
      </c>
      <c r="BJ15" s="177">
        <f t="shared" si="0"/>
        <v>3467.3996019492374</v>
      </c>
      <c r="BK15" s="177">
        <f t="shared" si="0"/>
        <v>1629.971030513017</v>
      </c>
      <c r="BL15" s="177">
        <f t="shared" si="0"/>
        <v>7699.5867355162864</v>
      </c>
      <c r="BM15" s="177">
        <f t="shared" si="0"/>
        <v>2792.8261344814009</v>
      </c>
      <c r="BN15" s="177">
        <f t="shared" si="0"/>
        <v>1470.9982189464558</v>
      </c>
      <c r="BO15" s="177">
        <f t="shared" ref="BO15:BX15" si="1">BO11-SUM(BO12:BO14)</f>
        <v>2794.980348039217</v>
      </c>
      <c r="BP15" s="177">
        <f t="shared" si="1"/>
        <v>1703.3632313048029</v>
      </c>
      <c r="BQ15" s="177">
        <f t="shared" si="1"/>
        <v>5039.9910321122188</v>
      </c>
      <c r="BR15" s="177">
        <f t="shared" si="1"/>
        <v>6107.6378335595273</v>
      </c>
      <c r="BS15" s="177">
        <f t="shared" si="1"/>
        <v>7687.1991995587714</v>
      </c>
      <c r="BT15" s="177">
        <f t="shared" si="1"/>
        <v>7026.9642067543864</v>
      </c>
      <c r="BU15" s="177">
        <f t="shared" si="1"/>
        <v>4830.8688536275095</v>
      </c>
      <c r="BV15" s="177">
        <f t="shared" si="1"/>
        <v>3621.7162217664281</v>
      </c>
      <c r="BW15" s="177">
        <f t="shared" si="1"/>
        <v>1710.7085343127137</v>
      </c>
      <c r="BX15" s="177">
        <f t="shared" si="1"/>
        <v>8023.0268943560695</v>
      </c>
    </row>
    <row r="16" spans="1:76" s="13" customFormat="1" x14ac:dyDescent="0.25">
      <c r="A16" s="174" t="s">
        <v>126</v>
      </c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</row>
    <row r="17" spans="1:76" s="13" customFormat="1" x14ac:dyDescent="0.25">
      <c r="A17" s="176" t="s">
        <v>119</v>
      </c>
      <c r="B17" s="177">
        <f>Вложения!F33-Вложения!F28</f>
        <v>44044.811488000007</v>
      </c>
      <c r="C17" s="177">
        <f>Вложения!G33-Вложения!G28</f>
        <v>11258.019294400001</v>
      </c>
      <c r="D17" s="177">
        <f>Вложения!H33-Вложения!H28</f>
        <v>14845.912766400001</v>
      </c>
      <c r="E17" s="177">
        <f>Вложения!I33-Вложения!I28</f>
        <v>9616.1168399999988</v>
      </c>
      <c r="F17" s="177">
        <f>Вложения!J33-Вложения!J28</f>
        <v>18779.293079999999</v>
      </c>
      <c r="G17" s="177">
        <f>Вложения!K33-Вложения!K28</f>
        <v>12429.764360000001</v>
      </c>
      <c r="H17" s="177">
        <f>Вложения!L33-Вложения!L28</f>
        <v>9856.1168399999988</v>
      </c>
      <c r="I17" s="177">
        <f>Вложения!M33-Вложения!M28</f>
        <v>5766.3524799999996</v>
      </c>
      <c r="J17" s="177">
        <f>Вложения!N33-Вложения!N28</f>
        <v>4816.3524799999996</v>
      </c>
      <c r="K17" s="177">
        <f>Вложения!O33-Вложения!O28</f>
        <v>0</v>
      </c>
      <c r="L17" s="177">
        <f>Вложения!P33-Вложения!P28</f>
        <v>0</v>
      </c>
      <c r="M17" s="177">
        <f>Вложения!Q33-Вложения!Q28</f>
        <v>0</v>
      </c>
      <c r="N17" s="177">
        <f>Вложения!R33-Вложения!R28</f>
        <v>0</v>
      </c>
      <c r="O17" s="177">
        <f>Вложения!S33-Вложения!S28</f>
        <v>0</v>
      </c>
      <c r="P17" s="177">
        <f>Вложения!T33-Вложения!T28</f>
        <v>0</v>
      </c>
      <c r="Q17" s="177">
        <f>Вложения!U33-Вложения!U28</f>
        <v>0</v>
      </c>
      <c r="R17" s="177">
        <f>Вложения!V33-Вложения!V28</f>
        <v>0</v>
      </c>
      <c r="S17" s="177">
        <f>Вложения!W33-Вложения!W28</f>
        <v>0</v>
      </c>
      <c r="T17" s="177">
        <f>Вложения!X33-Вложения!X28</f>
        <v>0</v>
      </c>
      <c r="U17" s="177">
        <f>Вложения!Y33-Вложения!Y28</f>
        <v>0</v>
      </c>
      <c r="V17" s="177">
        <f>Вложения!Z33-Вложения!Z28</f>
        <v>0</v>
      </c>
      <c r="W17" s="177">
        <f>Вложения!AA33-Вложения!AA28</f>
        <v>0</v>
      </c>
      <c r="X17" s="177">
        <f>Вложения!AB33-Вложения!AB28</f>
        <v>0</v>
      </c>
      <c r="Y17" s="177">
        <f>Вложения!AC33-Вложения!AC28</f>
        <v>0</v>
      </c>
      <c r="Z17" s="177">
        <f>Вложения!AD33-Вложения!AD28</f>
        <v>0</v>
      </c>
      <c r="AA17" s="177">
        <f>Вложения!AE33-Вложения!AE28</f>
        <v>0</v>
      </c>
      <c r="AB17" s="177">
        <f>Вложения!AF33-Вложения!AF28</f>
        <v>0</v>
      </c>
      <c r="AC17" s="177">
        <f>Вложения!AG33-Вложения!AG28</f>
        <v>0</v>
      </c>
      <c r="AD17" s="177">
        <f>Вложения!AH33-Вложения!AH28</f>
        <v>0</v>
      </c>
      <c r="AE17" s="177">
        <f>Вложения!AI33-Вложения!AI28</f>
        <v>0</v>
      </c>
      <c r="AF17" s="177">
        <f>Вложения!AJ33-Вложения!AJ28</f>
        <v>0</v>
      </c>
      <c r="AG17" s="177">
        <f>Вложения!AK33-Вложения!AK28</f>
        <v>0</v>
      </c>
      <c r="AH17" s="177">
        <f>Вложения!AL33-Вложения!AL28</f>
        <v>0</v>
      </c>
      <c r="AI17" s="177">
        <f>Вложения!AM33-Вложения!AM28</f>
        <v>0</v>
      </c>
      <c r="AJ17" s="177">
        <f>Вложения!AN33-Вложения!AN28</f>
        <v>0</v>
      </c>
      <c r="AK17" s="177">
        <f>Вложения!AO33-Вложения!AO28</f>
        <v>0</v>
      </c>
      <c r="AL17" s="177">
        <f>Вложения!AP33-Вложения!AP28</f>
        <v>0</v>
      </c>
      <c r="AM17" s="177">
        <f>Вложения!AQ33-Вложения!AQ28</f>
        <v>0</v>
      </c>
      <c r="AN17" s="177">
        <f>Вложения!AR33-Вложения!AR28</f>
        <v>0</v>
      </c>
      <c r="AO17" s="177">
        <f>Вложения!AS33-Вложения!AS28</f>
        <v>0</v>
      </c>
      <c r="AP17" s="177">
        <f>Вложения!AT33-Вложения!AT28</f>
        <v>0</v>
      </c>
      <c r="AQ17" s="177">
        <f>Вложения!AU33-Вложения!AU28</f>
        <v>0</v>
      </c>
      <c r="AR17" s="177">
        <f>Вложения!AV33-Вложения!AV28</f>
        <v>0</v>
      </c>
      <c r="AS17" s="177">
        <f>Вложения!AW33-Вложения!AW28</f>
        <v>0</v>
      </c>
      <c r="AT17" s="177">
        <f>Вложения!AX33-Вложения!AX28</f>
        <v>0</v>
      </c>
      <c r="AU17" s="177">
        <f>Вложения!AY33-Вложения!AY28</f>
        <v>0</v>
      </c>
      <c r="AV17" s="177">
        <f>Вложения!AZ33-Вложения!AZ28</f>
        <v>0</v>
      </c>
      <c r="AW17" s="177">
        <f>Вложения!BA33-Вложения!BA28</f>
        <v>0</v>
      </c>
      <c r="AX17" s="177">
        <f>Вложения!BB33-Вложения!BB28</f>
        <v>0</v>
      </c>
      <c r="AY17" s="177">
        <f>Вложения!BC33-Вложения!BC28</f>
        <v>0</v>
      </c>
      <c r="AZ17" s="177">
        <f>Вложения!BD33-Вложения!BD28</f>
        <v>0</v>
      </c>
      <c r="BA17" s="177">
        <f>Вложения!BE33-Вложения!BE28</f>
        <v>0</v>
      </c>
      <c r="BB17" s="177">
        <f>Вложения!BF33-Вложения!BF28</f>
        <v>0</v>
      </c>
      <c r="BC17" s="177">
        <f>Вложения!BG33-Вложения!BG28</f>
        <v>0</v>
      </c>
      <c r="BD17" s="177">
        <f>Вложения!BH33-Вложения!BH28</f>
        <v>0</v>
      </c>
      <c r="BE17" s="177">
        <f>Вложения!BI33-Вложения!BI28</f>
        <v>0</v>
      </c>
      <c r="BF17" s="177">
        <f>Вложения!BJ33-Вложения!BJ28</f>
        <v>0</v>
      </c>
      <c r="BG17" s="177">
        <f>Вложения!BK33-Вложения!BK28</f>
        <v>0</v>
      </c>
      <c r="BH17" s="177">
        <f>Вложения!BL33-Вложения!BL28</f>
        <v>0</v>
      </c>
      <c r="BI17" s="177">
        <f>Вложения!BM33-Вложения!BM28</f>
        <v>0</v>
      </c>
      <c r="BJ17" s="177">
        <f>Вложения!BN33-Вложения!BN28</f>
        <v>0</v>
      </c>
      <c r="BK17" s="177">
        <f>Вложения!BO33-Вложения!BO28</f>
        <v>0</v>
      </c>
      <c r="BL17" s="177">
        <f>Вложения!BP33-Вложения!BP28</f>
        <v>0</v>
      </c>
      <c r="BM17" s="177">
        <f>Вложения!BQ33-Вложения!BQ28</f>
        <v>0</v>
      </c>
      <c r="BN17" s="177">
        <f>Вложения!BR33-Вложения!BR28</f>
        <v>0</v>
      </c>
      <c r="BO17" s="177">
        <f>Вложения!BS33-Вложения!BS28</f>
        <v>0</v>
      </c>
      <c r="BP17" s="177">
        <f>Вложения!BT33-Вложения!BT28</f>
        <v>0</v>
      </c>
      <c r="BQ17" s="177">
        <f>Вложения!BU33-Вложения!BU28</f>
        <v>0</v>
      </c>
      <c r="BR17" s="177">
        <f>Вложения!BV33-Вложения!BV28</f>
        <v>0</v>
      </c>
      <c r="BS17" s="177">
        <f>Вложения!BW33-Вложения!BW28</f>
        <v>0</v>
      </c>
      <c r="BT17" s="177">
        <f>Вложения!BX33-Вложения!BX28</f>
        <v>0</v>
      </c>
      <c r="BU17" s="177">
        <f>Вложения!BY33-Вложения!BY28</f>
        <v>0</v>
      </c>
      <c r="BV17" s="177">
        <f>Вложения!BZ33-Вложения!BZ28</f>
        <v>0</v>
      </c>
      <c r="BW17" s="177">
        <f>Вложения!CA33-Вложения!CA28</f>
        <v>0</v>
      </c>
      <c r="BX17" s="177">
        <f>Вложения!CB33-Вложения!CB28</f>
        <v>0</v>
      </c>
    </row>
    <row r="18" spans="1:76" s="13" customFormat="1" x14ac:dyDescent="0.25">
      <c r="A18" s="176" t="s">
        <v>120</v>
      </c>
      <c r="B18" s="177">
        <f t="shared" ref="B18:V18" si="2">0-B17</f>
        <v>-44044.811488000007</v>
      </c>
      <c r="C18" s="177">
        <f t="shared" si="2"/>
        <v>-11258.019294400001</v>
      </c>
      <c r="D18" s="177">
        <f t="shared" si="2"/>
        <v>-14845.912766400001</v>
      </c>
      <c r="E18" s="177">
        <f t="shared" si="2"/>
        <v>-9616.1168399999988</v>
      </c>
      <c r="F18" s="177">
        <f t="shared" si="2"/>
        <v>-18779.293079999999</v>
      </c>
      <c r="G18" s="177">
        <f t="shared" si="2"/>
        <v>-12429.764360000001</v>
      </c>
      <c r="H18" s="177">
        <f t="shared" si="2"/>
        <v>-9856.1168399999988</v>
      </c>
      <c r="I18" s="177">
        <f t="shared" si="2"/>
        <v>-5766.3524799999996</v>
      </c>
      <c r="J18" s="177">
        <f t="shared" si="2"/>
        <v>-4816.3524799999996</v>
      </c>
      <c r="K18" s="177">
        <f t="shared" si="2"/>
        <v>0</v>
      </c>
      <c r="L18" s="177">
        <f t="shared" si="2"/>
        <v>0</v>
      </c>
      <c r="M18" s="177">
        <f t="shared" si="2"/>
        <v>0</v>
      </c>
      <c r="N18" s="177">
        <f t="shared" si="2"/>
        <v>0</v>
      </c>
      <c r="O18" s="177">
        <f t="shared" si="2"/>
        <v>0</v>
      </c>
      <c r="P18" s="177">
        <f t="shared" si="2"/>
        <v>0</v>
      </c>
      <c r="Q18" s="177">
        <f t="shared" si="2"/>
        <v>0</v>
      </c>
      <c r="R18" s="177">
        <f t="shared" si="2"/>
        <v>0</v>
      </c>
      <c r="S18" s="177">
        <f t="shared" si="2"/>
        <v>0</v>
      </c>
      <c r="T18" s="177">
        <f t="shared" si="2"/>
        <v>0</v>
      </c>
      <c r="U18" s="177">
        <f t="shared" si="2"/>
        <v>0</v>
      </c>
      <c r="V18" s="177">
        <f t="shared" si="2"/>
        <v>0</v>
      </c>
      <c r="W18" s="177">
        <f t="shared" ref="W18:AP18" si="3">0-W17</f>
        <v>0</v>
      </c>
      <c r="X18" s="177">
        <f t="shared" si="3"/>
        <v>0</v>
      </c>
      <c r="Y18" s="177">
        <f t="shared" si="3"/>
        <v>0</v>
      </c>
      <c r="Z18" s="177">
        <f t="shared" si="3"/>
        <v>0</v>
      </c>
      <c r="AA18" s="177">
        <f t="shared" si="3"/>
        <v>0</v>
      </c>
      <c r="AB18" s="177">
        <f t="shared" si="3"/>
        <v>0</v>
      </c>
      <c r="AC18" s="177">
        <f t="shared" si="3"/>
        <v>0</v>
      </c>
      <c r="AD18" s="177">
        <f t="shared" si="3"/>
        <v>0</v>
      </c>
      <c r="AE18" s="177">
        <f t="shared" si="3"/>
        <v>0</v>
      </c>
      <c r="AF18" s="177">
        <f t="shared" si="3"/>
        <v>0</v>
      </c>
      <c r="AG18" s="177">
        <f t="shared" si="3"/>
        <v>0</v>
      </c>
      <c r="AH18" s="177">
        <f t="shared" si="3"/>
        <v>0</v>
      </c>
      <c r="AI18" s="177">
        <f t="shared" si="3"/>
        <v>0</v>
      </c>
      <c r="AJ18" s="177">
        <f t="shared" si="3"/>
        <v>0</v>
      </c>
      <c r="AK18" s="177">
        <f t="shared" si="3"/>
        <v>0</v>
      </c>
      <c r="AL18" s="177">
        <f t="shared" si="3"/>
        <v>0</v>
      </c>
      <c r="AM18" s="177">
        <f t="shared" si="3"/>
        <v>0</v>
      </c>
      <c r="AN18" s="177">
        <f t="shared" si="3"/>
        <v>0</v>
      </c>
      <c r="AO18" s="177">
        <f t="shared" si="3"/>
        <v>0</v>
      </c>
      <c r="AP18" s="177">
        <f t="shared" si="3"/>
        <v>0</v>
      </c>
      <c r="AQ18" s="177">
        <f t="shared" ref="AQ18:BI18" si="4">0-AQ17</f>
        <v>0</v>
      </c>
      <c r="AR18" s="177">
        <f t="shared" si="4"/>
        <v>0</v>
      </c>
      <c r="AS18" s="177">
        <f t="shared" si="4"/>
        <v>0</v>
      </c>
      <c r="AT18" s="177">
        <f t="shared" si="4"/>
        <v>0</v>
      </c>
      <c r="AU18" s="177">
        <f t="shared" si="4"/>
        <v>0</v>
      </c>
      <c r="AV18" s="177">
        <f t="shared" si="4"/>
        <v>0</v>
      </c>
      <c r="AW18" s="177">
        <f t="shared" si="4"/>
        <v>0</v>
      </c>
      <c r="AX18" s="177">
        <f t="shared" si="4"/>
        <v>0</v>
      </c>
      <c r="AY18" s="177">
        <f t="shared" si="4"/>
        <v>0</v>
      </c>
      <c r="AZ18" s="177">
        <f t="shared" si="4"/>
        <v>0</v>
      </c>
      <c r="BA18" s="177">
        <f t="shared" si="4"/>
        <v>0</v>
      </c>
      <c r="BB18" s="177">
        <f t="shared" si="4"/>
        <v>0</v>
      </c>
      <c r="BC18" s="177">
        <f t="shared" si="4"/>
        <v>0</v>
      </c>
      <c r="BD18" s="177">
        <f t="shared" si="4"/>
        <v>0</v>
      </c>
      <c r="BE18" s="177">
        <f t="shared" si="4"/>
        <v>0</v>
      </c>
      <c r="BF18" s="177">
        <f t="shared" si="4"/>
        <v>0</v>
      </c>
      <c r="BG18" s="177">
        <f t="shared" si="4"/>
        <v>0</v>
      </c>
      <c r="BH18" s="177">
        <f t="shared" si="4"/>
        <v>0</v>
      </c>
      <c r="BI18" s="177">
        <f t="shared" si="4"/>
        <v>0</v>
      </c>
      <c r="BJ18" s="177">
        <f t="shared" ref="BJ18:BX18" si="5">0-BJ17</f>
        <v>0</v>
      </c>
      <c r="BK18" s="177">
        <f t="shared" si="5"/>
        <v>0</v>
      </c>
      <c r="BL18" s="177">
        <f t="shared" si="5"/>
        <v>0</v>
      </c>
      <c r="BM18" s="177">
        <f t="shared" si="5"/>
        <v>0</v>
      </c>
      <c r="BN18" s="177">
        <f t="shared" si="5"/>
        <v>0</v>
      </c>
      <c r="BO18" s="177">
        <f t="shared" si="5"/>
        <v>0</v>
      </c>
      <c r="BP18" s="177">
        <f t="shared" si="5"/>
        <v>0</v>
      </c>
      <c r="BQ18" s="177">
        <f t="shared" si="5"/>
        <v>0</v>
      </c>
      <c r="BR18" s="177">
        <f t="shared" si="5"/>
        <v>0</v>
      </c>
      <c r="BS18" s="177">
        <f t="shared" si="5"/>
        <v>0</v>
      </c>
      <c r="BT18" s="177">
        <f t="shared" si="5"/>
        <v>0</v>
      </c>
      <c r="BU18" s="177">
        <f t="shared" si="5"/>
        <v>0</v>
      </c>
      <c r="BV18" s="177">
        <f t="shared" si="5"/>
        <v>0</v>
      </c>
      <c r="BW18" s="177">
        <f t="shared" si="5"/>
        <v>0</v>
      </c>
      <c r="BX18" s="177">
        <f t="shared" si="5"/>
        <v>0</v>
      </c>
    </row>
    <row r="19" spans="1:76" s="13" customFormat="1" x14ac:dyDescent="0.25">
      <c r="A19" s="176" t="s">
        <v>376</v>
      </c>
      <c r="B19" s="177">
        <f>B15+B18</f>
        <v>-44168.602488000004</v>
      </c>
      <c r="C19" s="177">
        <f t="shared" ref="C19:AP19" si="6">C15+C18</f>
        <v>-11381.8102944</v>
      </c>
      <c r="D19" s="177">
        <f t="shared" si="6"/>
        <v>-14969.7037664</v>
      </c>
      <c r="E19" s="177">
        <f t="shared" si="6"/>
        <v>-9744.8594799999992</v>
      </c>
      <c r="F19" s="177">
        <f t="shared" si="6"/>
        <v>-18908.03572</v>
      </c>
      <c r="G19" s="177">
        <f t="shared" si="6"/>
        <v>-12558.507000000001</v>
      </c>
      <c r="H19" s="177">
        <f t="shared" si="6"/>
        <v>-9984.8594799999992</v>
      </c>
      <c r="I19" s="177">
        <f t="shared" si="6"/>
        <v>-5895.09512</v>
      </c>
      <c r="J19" s="177">
        <f t="shared" si="6"/>
        <v>-5196.6919199999993</v>
      </c>
      <c r="K19" s="177">
        <f t="shared" si="6"/>
        <v>2765.7288034833064</v>
      </c>
      <c r="L19" s="177">
        <f t="shared" si="6"/>
        <v>2520.7336667887434</v>
      </c>
      <c r="M19" s="177">
        <f t="shared" si="6"/>
        <v>1773.6078166020834</v>
      </c>
      <c r="N19" s="177">
        <f t="shared" si="6"/>
        <v>1380.5368618201264</v>
      </c>
      <c r="O19" s="177">
        <f t="shared" si="6"/>
        <v>479.93859862453837</v>
      </c>
      <c r="P19" s="177">
        <f t="shared" si="6"/>
        <v>4549.6480476464876</v>
      </c>
      <c r="Q19" s="177">
        <f t="shared" si="6"/>
        <v>1553.3656102589048</v>
      </c>
      <c r="R19" s="177">
        <f t="shared" si="6"/>
        <v>782.7425514874667</v>
      </c>
      <c r="S19" s="177">
        <f t="shared" si="6"/>
        <v>1944.7002635175709</v>
      </c>
      <c r="T19" s="177">
        <f t="shared" si="6"/>
        <v>1247.3418807875214</v>
      </c>
      <c r="U19" s="177">
        <f t="shared" si="6"/>
        <v>4247.2505669403581</v>
      </c>
      <c r="V19" s="177">
        <f t="shared" si="6"/>
        <v>5160.0359187471031</v>
      </c>
      <c r="W19" s="177">
        <f t="shared" si="6"/>
        <v>6510.4412281672148</v>
      </c>
      <c r="X19" s="177">
        <f t="shared" si="6"/>
        <v>5946.2592230288619</v>
      </c>
      <c r="Y19" s="177">
        <f t="shared" si="6"/>
        <v>4069.2173450504183</v>
      </c>
      <c r="Z19" s="177">
        <f t="shared" si="6"/>
        <v>3035.8182415162642</v>
      </c>
      <c r="AA19" s="177">
        <f t="shared" si="6"/>
        <v>1402.4704949661218</v>
      </c>
      <c r="AB19" s="177">
        <f t="shared" si="6"/>
        <v>6798.4563180203841</v>
      </c>
      <c r="AC19" s="177">
        <f t="shared" si="6"/>
        <v>2436.483573605019</v>
      </c>
      <c r="AD19" s="177">
        <f t="shared" si="6"/>
        <v>1261.5029326794474</v>
      </c>
      <c r="AE19" s="177">
        <f t="shared" si="6"/>
        <v>2438.6377871628347</v>
      </c>
      <c r="AF19" s="177">
        <f t="shared" si="6"/>
        <v>1468.3137080976585</v>
      </c>
      <c r="AG19" s="177">
        <f t="shared" si="6"/>
        <v>4434.6832360301541</v>
      </c>
      <c r="AH19" s="177">
        <f t="shared" si="6"/>
        <v>5383.9369176380169</v>
      </c>
      <c r="AI19" s="177">
        <f t="shared" si="6"/>
        <v>6788.3153551637743</v>
      </c>
      <c r="AJ19" s="177">
        <f t="shared" si="6"/>
        <v>6201.5229855487323</v>
      </c>
      <c r="AK19" s="177">
        <f t="shared" si="6"/>
        <v>4249.3563481799956</v>
      </c>
      <c r="AL19" s="177">
        <f t="shared" si="6"/>
        <v>3174.5781962333176</v>
      </c>
      <c r="AM19" s="177">
        <f t="shared" si="6"/>
        <v>1475.8534555500137</v>
      </c>
      <c r="AN19" s="177">
        <f t="shared" si="6"/>
        <v>7087.6356272552903</v>
      </c>
      <c r="AO19" s="177">
        <f t="shared" si="6"/>
        <v>2551.1408887921557</v>
      </c>
      <c r="AP19" s="177">
        <f t="shared" si="6"/>
        <v>1329.1179379584046</v>
      </c>
      <c r="AQ19" s="177">
        <f t="shared" ref="AQ19:BI19" si="7">AQ15+AQ18</f>
        <v>2553.2951023499718</v>
      </c>
      <c r="AR19" s="177">
        <f t="shared" si="7"/>
        <v>1544.1149758510296</v>
      </c>
      <c r="AS19" s="177">
        <f t="shared" si="7"/>
        <v>4629.0962006296704</v>
      </c>
      <c r="AT19" s="177">
        <f t="shared" si="7"/>
        <v>5616.2769452306902</v>
      </c>
      <c r="AU19" s="177">
        <f t="shared" si="7"/>
        <v>7076.7874359863235</v>
      </c>
      <c r="AV19" s="177">
        <f t="shared" si="7"/>
        <v>6466.4802873155231</v>
      </c>
      <c r="AW19" s="177">
        <f t="shared" si="7"/>
        <v>4436.1839001808785</v>
      </c>
      <c r="AX19" s="177">
        <f t="shared" si="7"/>
        <v>3318.3715378851784</v>
      </c>
      <c r="AY19" s="177">
        <f t="shared" si="7"/>
        <v>1551.6547233033857</v>
      </c>
      <c r="AZ19" s="177">
        <f t="shared" si="7"/>
        <v>7387.8650976057161</v>
      </c>
      <c r="BA19" s="177">
        <f t="shared" si="7"/>
        <v>2669.8674853329021</v>
      </c>
      <c r="BB19" s="177">
        <f t="shared" si="7"/>
        <v>1398.9205321946429</v>
      </c>
      <c r="BC19" s="177">
        <f t="shared" si="7"/>
        <v>2672.0216988907177</v>
      </c>
      <c r="BD19" s="177">
        <f t="shared" si="7"/>
        <v>1622.4312830606609</v>
      </c>
      <c r="BE19" s="177">
        <f t="shared" si="7"/>
        <v>4830.7686725592912</v>
      </c>
      <c r="BF19" s="177">
        <f t="shared" si="7"/>
        <v>5857.3935626731945</v>
      </c>
      <c r="BG19" s="177">
        <f t="shared" si="7"/>
        <v>7376.2813887878983</v>
      </c>
      <c r="BH19" s="177">
        <f t="shared" si="7"/>
        <v>6741.5188698991096</v>
      </c>
      <c r="BI19" s="177">
        <f t="shared" si="7"/>
        <v>4629.9675430079242</v>
      </c>
      <c r="BJ19" s="177">
        <f t="shared" ref="BJ19:BX19" si="8">BJ15+BJ18</f>
        <v>3467.3996019492374</v>
      </c>
      <c r="BK19" s="177">
        <f t="shared" si="8"/>
        <v>1629.971030513017</v>
      </c>
      <c r="BL19" s="177">
        <f t="shared" si="8"/>
        <v>7699.5867355162864</v>
      </c>
      <c r="BM19" s="177">
        <f t="shared" si="8"/>
        <v>2792.8261344814009</v>
      </c>
      <c r="BN19" s="177">
        <f t="shared" si="8"/>
        <v>1470.9982189464558</v>
      </c>
      <c r="BO19" s="177">
        <f t="shared" si="8"/>
        <v>2794.980348039217</v>
      </c>
      <c r="BP19" s="177">
        <f t="shared" si="8"/>
        <v>1703.3632313048029</v>
      </c>
      <c r="BQ19" s="177">
        <f t="shared" si="8"/>
        <v>5039.9910321122188</v>
      </c>
      <c r="BR19" s="177">
        <f t="shared" si="8"/>
        <v>6107.6378335595273</v>
      </c>
      <c r="BS19" s="177">
        <f t="shared" si="8"/>
        <v>7687.1991995587714</v>
      </c>
      <c r="BT19" s="177">
        <f t="shared" si="8"/>
        <v>7026.9642067543864</v>
      </c>
      <c r="BU19" s="177">
        <f t="shared" si="8"/>
        <v>4830.8688536275095</v>
      </c>
      <c r="BV19" s="177">
        <f t="shared" si="8"/>
        <v>3621.7162217664281</v>
      </c>
      <c r="BW19" s="177">
        <f t="shared" si="8"/>
        <v>1710.7085343127137</v>
      </c>
      <c r="BX19" s="177">
        <f t="shared" si="8"/>
        <v>8023.0268943560695</v>
      </c>
    </row>
    <row r="20" spans="1:76" s="13" customFormat="1" x14ac:dyDescent="0.25">
      <c r="A20" s="174" t="s">
        <v>127</v>
      </c>
      <c r="B20" s="175"/>
      <c r="C20" s="175"/>
      <c r="D20" s="175"/>
      <c r="E20" s="175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</row>
    <row r="21" spans="1:76" s="13" customFormat="1" x14ac:dyDescent="0.25">
      <c r="A21" s="176" t="s">
        <v>606</v>
      </c>
      <c r="B21" s="179">
        <f>'Книга допущений'!B103</f>
        <v>133259.34098079999</v>
      </c>
      <c r="C21" s="179">
        <f>C24</f>
        <v>0</v>
      </c>
      <c r="D21" s="179">
        <f>D24</f>
        <v>0</v>
      </c>
      <c r="E21" s="179">
        <f>E24</f>
        <v>0</v>
      </c>
      <c r="F21" s="179">
        <f>F24+F25</f>
        <v>0</v>
      </c>
      <c r="G21" s="179">
        <f>G24</f>
        <v>0</v>
      </c>
      <c r="H21" s="179">
        <v>0</v>
      </c>
      <c r="I21" s="179">
        <v>0</v>
      </c>
      <c r="J21" s="179">
        <v>0</v>
      </c>
      <c r="K21" s="179">
        <v>0</v>
      </c>
      <c r="L21" s="179">
        <v>0</v>
      </c>
      <c r="M21" s="179">
        <v>0</v>
      </c>
      <c r="N21" s="179">
        <v>0</v>
      </c>
      <c r="O21" s="179">
        <v>0</v>
      </c>
      <c r="P21" s="179">
        <v>0</v>
      </c>
      <c r="Q21" s="179">
        <v>0</v>
      </c>
      <c r="R21" s="179">
        <v>0</v>
      </c>
      <c r="S21" s="179">
        <v>0</v>
      </c>
      <c r="T21" s="179">
        <v>0</v>
      </c>
      <c r="U21" s="179">
        <v>0</v>
      </c>
      <c r="V21" s="179">
        <v>0</v>
      </c>
      <c r="W21" s="179">
        <v>0</v>
      </c>
      <c r="X21" s="179">
        <v>0</v>
      </c>
      <c r="Y21" s="179">
        <v>0</v>
      </c>
      <c r="Z21" s="179">
        <v>0</v>
      </c>
      <c r="AA21" s="179">
        <v>0</v>
      </c>
      <c r="AB21" s="179">
        <v>0</v>
      </c>
      <c r="AC21" s="179">
        <v>0</v>
      </c>
      <c r="AD21" s="179">
        <v>0</v>
      </c>
      <c r="AE21" s="179">
        <v>0</v>
      </c>
      <c r="AF21" s="179">
        <v>0</v>
      </c>
      <c r="AG21" s="179">
        <v>0</v>
      </c>
      <c r="AH21" s="179">
        <v>0</v>
      </c>
      <c r="AI21" s="179">
        <v>0</v>
      </c>
      <c r="AJ21" s="179">
        <v>0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79">
        <v>0</v>
      </c>
      <c r="AS21" s="179">
        <v>0</v>
      </c>
      <c r="AT21" s="179">
        <v>0</v>
      </c>
      <c r="AU21" s="179">
        <v>0</v>
      </c>
      <c r="AV21" s="179">
        <v>0</v>
      </c>
      <c r="AW21" s="179">
        <v>0</v>
      </c>
      <c r="AX21" s="179">
        <v>0</v>
      </c>
      <c r="AY21" s="179">
        <v>0</v>
      </c>
      <c r="AZ21" s="179">
        <v>0</v>
      </c>
      <c r="BA21" s="179">
        <v>0</v>
      </c>
      <c r="BB21" s="179">
        <v>0</v>
      </c>
      <c r="BC21" s="179">
        <v>0</v>
      </c>
      <c r="BD21" s="179">
        <v>0</v>
      </c>
      <c r="BE21" s="179">
        <v>0</v>
      </c>
      <c r="BF21" s="179">
        <v>0</v>
      </c>
      <c r="BG21" s="179">
        <v>0</v>
      </c>
      <c r="BH21" s="179">
        <v>0</v>
      </c>
      <c r="BI21" s="179">
        <v>0</v>
      </c>
      <c r="BJ21" s="179">
        <v>0</v>
      </c>
      <c r="BK21" s="179">
        <v>0</v>
      </c>
      <c r="BL21" s="179">
        <v>0</v>
      </c>
      <c r="BM21" s="179">
        <v>0</v>
      </c>
      <c r="BN21" s="179">
        <v>0</v>
      </c>
      <c r="BO21" s="179">
        <v>0</v>
      </c>
      <c r="BP21" s="179">
        <v>0</v>
      </c>
      <c r="BQ21" s="179">
        <v>0</v>
      </c>
      <c r="BR21" s="179">
        <v>0</v>
      </c>
      <c r="BS21" s="179">
        <v>0</v>
      </c>
      <c r="BT21" s="179">
        <v>0</v>
      </c>
      <c r="BU21" s="179">
        <v>0</v>
      </c>
      <c r="BV21" s="179">
        <v>0</v>
      </c>
      <c r="BW21" s="179">
        <v>0</v>
      </c>
      <c r="BX21" s="179">
        <v>0</v>
      </c>
    </row>
    <row r="22" spans="1:76" x14ac:dyDescent="0.25">
      <c r="A22" s="176" t="s">
        <v>670</v>
      </c>
      <c r="B22" s="177">
        <f>Займы!B11</f>
        <v>0</v>
      </c>
      <c r="C22" s="177">
        <f>Займы!C11</f>
        <v>0</v>
      </c>
      <c r="D22" s="177">
        <f>Займы!D11</f>
        <v>0</v>
      </c>
      <c r="E22" s="177">
        <f>Займы!E11</f>
        <v>0</v>
      </c>
      <c r="F22" s="177">
        <f>Займы!F11</f>
        <v>0</v>
      </c>
      <c r="G22" s="177">
        <f>Займы!G11</f>
        <v>0</v>
      </c>
      <c r="H22" s="177">
        <f>Займы!H11</f>
        <v>0</v>
      </c>
      <c r="I22" s="177">
        <f>Займы!I11</f>
        <v>0</v>
      </c>
      <c r="J22" s="177">
        <f>Займы!J11</f>
        <v>0</v>
      </c>
      <c r="K22" s="177">
        <f>Займы!K11</f>
        <v>0</v>
      </c>
      <c r="L22" s="177">
        <f>Займы!L11</f>
        <v>0</v>
      </c>
      <c r="M22" s="177">
        <f>Займы!M11</f>
        <v>0</v>
      </c>
      <c r="N22" s="177">
        <f>Займы!N11</f>
        <v>0</v>
      </c>
      <c r="O22" s="177">
        <f>Займы!O11</f>
        <v>0</v>
      </c>
      <c r="P22" s="177">
        <f>Займы!P11</f>
        <v>0</v>
      </c>
      <c r="Q22" s="177">
        <f>Займы!Q11</f>
        <v>0</v>
      </c>
      <c r="R22" s="177">
        <f>Займы!R11</f>
        <v>0</v>
      </c>
      <c r="S22" s="177">
        <f>Займы!S11</f>
        <v>0</v>
      </c>
      <c r="T22" s="177">
        <f>Займы!T11</f>
        <v>0</v>
      </c>
      <c r="U22" s="177">
        <f>Займы!U11</f>
        <v>0</v>
      </c>
      <c r="V22" s="177">
        <f>Займы!V11</f>
        <v>0</v>
      </c>
      <c r="W22" s="177">
        <f>Займы!W11</f>
        <v>0</v>
      </c>
      <c r="X22" s="177">
        <f>Займы!X11</f>
        <v>0</v>
      </c>
      <c r="Y22" s="177">
        <f>Займы!Y11</f>
        <v>0</v>
      </c>
      <c r="Z22" s="177">
        <f>Займы!Z11</f>
        <v>0</v>
      </c>
      <c r="AA22" s="177">
        <f>Займы!AA11</f>
        <v>0</v>
      </c>
      <c r="AB22" s="177">
        <f>Займы!AB11</f>
        <v>0</v>
      </c>
      <c r="AC22" s="177">
        <f>Займы!AC11</f>
        <v>0</v>
      </c>
      <c r="AD22" s="177">
        <f>Займы!AD11</f>
        <v>0</v>
      </c>
      <c r="AE22" s="177">
        <f>Займы!AE11</f>
        <v>0</v>
      </c>
      <c r="AF22" s="177">
        <f>Займы!AF11</f>
        <v>0</v>
      </c>
      <c r="AG22" s="177">
        <f>Займы!AG11</f>
        <v>0</v>
      </c>
      <c r="AH22" s="177">
        <f>Займы!AH11</f>
        <v>0</v>
      </c>
      <c r="AI22" s="177">
        <f>Займы!AI11</f>
        <v>0</v>
      </c>
      <c r="AJ22" s="177">
        <f>Займы!AJ11</f>
        <v>0</v>
      </c>
      <c r="AK22" s="177">
        <f>Займы!AK11</f>
        <v>0</v>
      </c>
      <c r="AL22" s="177">
        <f>Займы!AL11</f>
        <v>0</v>
      </c>
      <c r="AM22" s="177">
        <f>Займы!AM11</f>
        <v>0</v>
      </c>
      <c r="AN22" s="177">
        <f>Займы!AN11</f>
        <v>0</v>
      </c>
      <c r="AO22" s="177">
        <f>Займы!AO11</f>
        <v>0</v>
      </c>
      <c r="AP22" s="177">
        <f>Займы!AP11</f>
        <v>0</v>
      </c>
      <c r="AQ22" s="177">
        <f>Займы!AQ11</f>
        <v>0</v>
      </c>
      <c r="AR22" s="177">
        <f>Займы!AR11</f>
        <v>0</v>
      </c>
      <c r="AS22" s="177">
        <f>Займы!AS11</f>
        <v>0</v>
      </c>
      <c r="AT22" s="177">
        <f>Займы!AT11</f>
        <v>0</v>
      </c>
      <c r="AU22" s="177">
        <f>Займы!AU11</f>
        <v>0</v>
      </c>
      <c r="AV22" s="177">
        <f>Займы!AV11</f>
        <v>0</v>
      </c>
      <c r="AW22" s="177">
        <f>Займы!AW11</f>
        <v>0</v>
      </c>
      <c r="AX22" s="177">
        <f>Займы!AX11</f>
        <v>0</v>
      </c>
      <c r="AY22" s="177">
        <f>Займы!AY11</f>
        <v>0</v>
      </c>
      <c r="AZ22" s="177">
        <f>Займы!AZ11</f>
        <v>0</v>
      </c>
      <c r="BA22" s="177">
        <f>Займы!BA11</f>
        <v>0</v>
      </c>
      <c r="BB22" s="177">
        <f>Займы!BB11</f>
        <v>0</v>
      </c>
      <c r="BC22" s="177">
        <f>Займы!BC11</f>
        <v>0</v>
      </c>
      <c r="BD22" s="177">
        <f>Займы!BD11</f>
        <v>0</v>
      </c>
      <c r="BE22" s="177">
        <f>Займы!BE11</f>
        <v>0</v>
      </c>
      <c r="BF22" s="177">
        <f>Займы!BF11</f>
        <v>0</v>
      </c>
      <c r="BG22" s="177">
        <f>Займы!BG11</f>
        <v>0</v>
      </c>
      <c r="BH22" s="177">
        <f>Займы!BH11</f>
        <v>0</v>
      </c>
      <c r="BI22" s="177">
        <f>Займы!BI11</f>
        <v>0</v>
      </c>
      <c r="BJ22" s="177">
        <f>Займы!BJ11</f>
        <v>0</v>
      </c>
      <c r="BK22" s="177">
        <f>Займы!BK11</f>
        <v>0</v>
      </c>
      <c r="BL22" s="177">
        <f>Займы!BL11</f>
        <v>0</v>
      </c>
      <c r="BM22" s="177">
        <f>Займы!BM11</f>
        <v>0</v>
      </c>
      <c r="BN22" s="177">
        <f>Займы!BN11</f>
        <v>0</v>
      </c>
      <c r="BO22" s="177">
        <f>Займы!BO11</f>
        <v>0</v>
      </c>
      <c r="BP22" s="177">
        <f>Займы!BP11</f>
        <v>0</v>
      </c>
      <c r="BQ22" s="177">
        <f>Займы!BQ11</f>
        <v>0</v>
      </c>
      <c r="BR22" s="177">
        <f>Займы!BR11</f>
        <v>0</v>
      </c>
      <c r="BS22" s="177">
        <f>Займы!BS11</f>
        <v>0</v>
      </c>
      <c r="BT22" s="177">
        <f>Займы!BT11</f>
        <v>0</v>
      </c>
      <c r="BU22" s="177">
        <f>Займы!BU11</f>
        <v>0</v>
      </c>
      <c r="BV22" s="177">
        <f>Займы!BV11</f>
        <v>0</v>
      </c>
      <c r="BW22" s="177">
        <f>Займы!BW11</f>
        <v>0</v>
      </c>
      <c r="BX22" s="177">
        <f>Займы!BX11</f>
        <v>0</v>
      </c>
    </row>
    <row r="23" spans="1:76" s="13" customFormat="1" x14ac:dyDescent="0.25">
      <c r="A23" s="176" t="s">
        <v>680</v>
      </c>
      <c r="B23" s="179">
        <f>SUM(B24:B25)</f>
        <v>0</v>
      </c>
      <c r="C23" s="179">
        <f t="shared" ref="C23:AN23" si="9">SUM(C24:C25)</f>
        <v>0</v>
      </c>
      <c r="D23" s="179">
        <f t="shared" si="9"/>
        <v>0</v>
      </c>
      <c r="E23" s="179">
        <f t="shared" si="9"/>
        <v>0</v>
      </c>
      <c r="F23" s="179">
        <f t="shared" si="9"/>
        <v>0</v>
      </c>
      <c r="G23" s="179">
        <f t="shared" si="9"/>
        <v>0</v>
      </c>
      <c r="H23" s="179">
        <f t="shared" si="9"/>
        <v>0</v>
      </c>
      <c r="I23" s="179">
        <f t="shared" si="9"/>
        <v>0</v>
      </c>
      <c r="J23" s="179">
        <f t="shared" si="9"/>
        <v>0</v>
      </c>
      <c r="K23" s="179">
        <f t="shared" si="9"/>
        <v>0</v>
      </c>
      <c r="L23" s="179">
        <f t="shared" si="9"/>
        <v>0</v>
      </c>
      <c r="M23" s="179">
        <f t="shared" si="9"/>
        <v>0</v>
      </c>
      <c r="N23" s="179">
        <f t="shared" si="9"/>
        <v>0</v>
      </c>
      <c r="O23" s="179">
        <f t="shared" si="9"/>
        <v>0</v>
      </c>
      <c r="P23" s="179">
        <f t="shared" si="9"/>
        <v>0</v>
      </c>
      <c r="Q23" s="179">
        <f t="shared" si="9"/>
        <v>0</v>
      </c>
      <c r="R23" s="179">
        <f t="shared" si="9"/>
        <v>0</v>
      </c>
      <c r="S23" s="179">
        <f t="shared" si="9"/>
        <v>0</v>
      </c>
      <c r="T23" s="179">
        <f t="shared" si="9"/>
        <v>0</v>
      </c>
      <c r="U23" s="179">
        <f t="shared" si="9"/>
        <v>0</v>
      </c>
      <c r="V23" s="179">
        <f t="shared" si="9"/>
        <v>0</v>
      </c>
      <c r="W23" s="179">
        <f t="shared" si="9"/>
        <v>0</v>
      </c>
      <c r="X23" s="179">
        <f t="shared" si="9"/>
        <v>0</v>
      </c>
      <c r="Y23" s="179">
        <f t="shared" si="9"/>
        <v>0</v>
      </c>
      <c r="Z23" s="179">
        <f t="shared" si="9"/>
        <v>0</v>
      </c>
      <c r="AA23" s="179">
        <f t="shared" si="9"/>
        <v>0</v>
      </c>
      <c r="AB23" s="179">
        <f t="shared" si="9"/>
        <v>0</v>
      </c>
      <c r="AC23" s="179">
        <f t="shared" si="9"/>
        <v>0</v>
      </c>
      <c r="AD23" s="179">
        <f t="shared" si="9"/>
        <v>0</v>
      </c>
      <c r="AE23" s="179">
        <f t="shared" si="9"/>
        <v>0</v>
      </c>
      <c r="AF23" s="179">
        <f t="shared" si="9"/>
        <v>0</v>
      </c>
      <c r="AG23" s="179">
        <f t="shared" si="9"/>
        <v>0</v>
      </c>
      <c r="AH23" s="179">
        <f t="shared" si="9"/>
        <v>0</v>
      </c>
      <c r="AI23" s="179">
        <f t="shared" si="9"/>
        <v>0</v>
      </c>
      <c r="AJ23" s="179">
        <f t="shared" si="9"/>
        <v>0</v>
      </c>
      <c r="AK23" s="179">
        <f t="shared" si="9"/>
        <v>0</v>
      </c>
      <c r="AL23" s="179">
        <f t="shared" si="9"/>
        <v>0</v>
      </c>
      <c r="AM23" s="179">
        <f t="shared" si="9"/>
        <v>0</v>
      </c>
      <c r="AN23" s="179">
        <f t="shared" si="9"/>
        <v>0</v>
      </c>
      <c r="AO23" s="179">
        <f t="shared" ref="AO23:AP23" si="10">SUM(AO24:AO25)</f>
        <v>0</v>
      </c>
      <c r="AP23" s="179">
        <f t="shared" si="10"/>
        <v>0</v>
      </c>
      <c r="AQ23" s="179">
        <f t="shared" ref="AQ23:BI23" si="11">SUM(AQ24:AQ25)</f>
        <v>0</v>
      </c>
      <c r="AR23" s="179">
        <f t="shared" si="11"/>
        <v>0</v>
      </c>
      <c r="AS23" s="179">
        <f t="shared" si="11"/>
        <v>0</v>
      </c>
      <c r="AT23" s="179">
        <f t="shared" si="11"/>
        <v>0</v>
      </c>
      <c r="AU23" s="179">
        <f t="shared" si="11"/>
        <v>0</v>
      </c>
      <c r="AV23" s="179">
        <f t="shared" si="11"/>
        <v>0</v>
      </c>
      <c r="AW23" s="179">
        <f t="shared" si="11"/>
        <v>0</v>
      </c>
      <c r="AX23" s="179">
        <f t="shared" si="11"/>
        <v>0</v>
      </c>
      <c r="AY23" s="179">
        <f t="shared" si="11"/>
        <v>0</v>
      </c>
      <c r="AZ23" s="179">
        <f t="shared" si="11"/>
        <v>0</v>
      </c>
      <c r="BA23" s="179">
        <f t="shared" si="11"/>
        <v>0</v>
      </c>
      <c r="BB23" s="179">
        <f t="shared" si="11"/>
        <v>0</v>
      </c>
      <c r="BC23" s="179">
        <f t="shared" si="11"/>
        <v>0</v>
      </c>
      <c r="BD23" s="179">
        <f t="shared" si="11"/>
        <v>0</v>
      </c>
      <c r="BE23" s="179">
        <f t="shared" si="11"/>
        <v>0</v>
      </c>
      <c r="BF23" s="179">
        <f t="shared" si="11"/>
        <v>0</v>
      </c>
      <c r="BG23" s="179">
        <f t="shared" si="11"/>
        <v>0</v>
      </c>
      <c r="BH23" s="179">
        <f t="shared" si="11"/>
        <v>0</v>
      </c>
      <c r="BI23" s="179">
        <f t="shared" si="11"/>
        <v>0</v>
      </c>
      <c r="BJ23" s="179">
        <f t="shared" ref="BJ23:BX23" si="12">SUM(BJ24:BJ25)</f>
        <v>0</v>
      </c>
      <c r="BK23" s="179">
        <f t="shared" si="12"/>
        <v>0</v>
      </c>
      <c r="BL23" s="179">
        <f t="shared" si="12"/>
        <v>0</v>
      </c>
      <c r="BM23" s="179">
        <f t="shared" si="12"/>
        <v>0</v>
      </c>
      <c r="BN23" s="179">
        <f t="shared" si="12"/>
        <v>0</v>
      </c>
      <c r="BO23" s="179">
        <f t="shared" si="12"/>
        <v>0</v>
      </c>
      <c r="BP23" s="179">
        <f t="shared" si="12"/>
        <v>0</v>
      </c>
      <c r="BQ23" s="179">
        <f t="shared" si="12"/>
        <v>0</v>
      </c>
      <c r="BR23" s="179">
        <f t="shared" si="12"/>
        <v>0</v>
      </c>
      <c r="BS23" s="179">
        <f t="shared" si="12"/>
        <v>0</v>
      </c>
      <c r="BT23" s="179">
        <f t="shared" si="12"/>
        <v>0</v>
      </c>
      <c r="BU23" s="179">
        <f t="shared" si="12"/>
        <v>0</v>
      </c>
      <c r="BV23" s="179">
        <f t="shared" si="12"/>
        <v>0</v>
      </c>
      <c r="BW23" s="179">
        <f t="shared" si="12"/>
        <v>0</v>
      </c>
      <c r="BX23" s="179">
        <f t="shared" si="12"/>
        <v>0</v>
      </c>
    </row>
    <row r="24" spans="1:76" s="83" customFormat="1" x14ac:dyDescent="0.25">
      <c r="A24" s="180" t="s">
        <v>175</v>
      </c>
      <c r="B24" s="181">
        <f>Займы!B13</f>
        <v>0</v>
      </c>
      <c r="C24" s="181">
        <f>Займы!C13</f>
        <v>0</v>
      </c>
      <c r="D24" s="181">
        <f>Займы!D13</f>
        <v>0</v>
      </c>
      <c r="E24" s="181">
        <f>Займы!E13</f>
        <v>0</v>
      </c>
      <c r="F24" s="181">
        <f>Займы!F13</f>
        <v>0</v>
      </c>
      <c r="G24" s="181">
        <f>Займы!G13</f>
        <v>0</v>
      </c>
      <c r="H24" s="181">
        <f>Займы!H13</f>
        <v>0</v>
      </c>
      <c r="I24" s="181">
        <f>Займы!I13</f>
        <v>0</v>
      </c>
      <c r="J24" s="181">
        <f>Займы!J13</f>
        <v>0</v>
      </c>
      <c r="K24" s="181">
        <f>Займы!K13</f>
        <v>0</v>
      </c>
      <c r="L24" s="181">
        <f>Займы!L13</f>
        <v>0</v>
      </c>
      <c r="M24" s="181">
        <f>Займы!M13</f>
        <v>0</v>
      </c>
      <c r="N24" s="181">
        <f>Займы!N13</f>
        <v>0</v>
      </c>
      <c r="O24" s="181">
        <f>Займы!O13</f>
        <v>0</v>
      </c>
      <c r="P24" s="181">
        <f>Займы!P13</f>
        <v>0</v>
      </c>
      <c r="Q24" s="181">
        <f>Займы!Q13</f>
        <v>0</v>
      </c>
      <c r="R24" s="181">
        <f>Займы!R13</f>
        <v>0</v>
      </c>
      <c r="S24" s="181">
        <f>Займы!S13</f>
        <v>0</v>
      </c>
      <c r="T24" s="181">
        <f>Займы!T13</f>
        <v>0</v>
      </c>
      <c r="U24" s="181">
        <f>Займы!U13</f>
        <v>0</v>
      </c>
      <c r="V24" s="181">
        <f>Займы!V13</f>
        <v>0</v>
      </c>
      <c r="W24" s="181">
        <f>Займы!W13</f>
        <v>0</v>
      </c>
      <c r="X24" s="181">
        <f>Займы!X13</f>
        <v>0</v>
      </c>
      <c r="Y24" s="181">
        <f>Займы!Y13</f>
        <v>0</v>
      </c>
      <c r="Z24" s="181">
        <f>Займы!Z13</f>
        <v>0</v>
      </c>
      <c r="AA24" s="181">
        <f>Займы!AA13</f>
        <v>0</v>
      </c>
      <c r="AB24" s="181">
        <f>Займы!AB13</f>
        <v>0</v>
      </c>
      <c r="AC24" s="181">
        <f>Займы!AC13</f>
        <v>0</v>
      </c>
      <c r="AD24" s="181">
        <f>Займы!AD13</f>
        <v>0</v>
      </c>
      <c r="AE24" s="181">
        <f>Займы!AE13</f>
        <v>0</v>
      </c>
      <c r="AF24" s="181">
        <f>Займы!AF13</f>
        <v>0</v>
      </c>
      <c r="AG24" s="181">
        <f>Займы!AG13</f>
        <v>0</v>
      </c>
      <c r="AH24" s="181">
        <f>Займы!AH13</f>
        <v>0</v>
      </c>
      <c r="AI24" s="181">
        <f>Займы!AI13</f>
        <v>0</v>
      </c>
      <c r="AJ24" s="181">
        <f>Займы!AJ13</f>
        <v>0</v>
      </c>
      <c r="AK24" s="181">
        <f>Займы!AK13</f>
        <v>0</v>
      </c>
      <c r="AL24" s="181">
        <f>Займы!AL13</f>
        <v>0</v>
      </c>
      <c r="AM24" s="181">
        <f>Займы!AM13</f>
        <v>0</v>
      </c>
      <c r="AN24" s="181">
        <f>Займы!AN13</f>
        <v>0</v>
      </c>
      <c r="AO24" s="181">
        <f>Займы!AO13</f>
        <v>0</v>
      </c>
      <c r="AP24" s="181">
        <f>Займы!AP13</f>
        <v>0</v>
      </c>
      <c r="AQ24" s="181">
        <f>Займы!AQ13</f>
        <v>0</v>
      </c>
      <c r="AR24" s="181">
        <f>Займы!AR13</f>
        <v>0</v>
      </c>
      <c r="AS24" s="181">
        <f>Займы!AS13</f>
        <v>0</v>
      </c>
      <c r="AT24" s="181">
        <f>Займы!AT13</f>
        <v>0</v>
      </c>
      <c r="AU24" s="181">
        <f>Займы!AU13</f>
        <v>0</v>
      </c>
      <c r="AV24" s="181">
        <f>Займы!AV13</f>
        <v>0</v>
      </c>
      <c r="AW24" s="181">
        <f>Займы!AW13</f>
        <v>0</v>
      </c>
      <c r="AX24" s="181">
        <f>Займы!AX13</f>
        <v>0</v>
      </c>
      <c r="AY24" s="181">
        <f>Займы!AY13</f>
        <v>0</v>
      </c>
      <c r="AZ24" s="181">
        <f>Займы!AZ13</f>
        <v>0</v>
      </c>
      <c r="BA24" s="181">
        <f>Займы!BA13</f>
        <v>0</v>
      </c>
      <c r="BB24" s="181">
        <f>Займы!BB13</f>
        <v>0</v>
      </c>
      <c r="BC24" s="181">
        <f>Займы!BC13</f>
        <v>0</v>
      </c>
      <c r="BD24" s="181">
        <f>Займы!BD13</f>
        <v>0</v>
      </c>
      <c r="BE24" s="181">
        <f>Займы!BE13</f>
        <v>0</v>
      </c>
      <c r="BF24" s="181">
        <f>Займы!BF13</f>
        <v>0</v>
      </c>
      <c r="BG24" s="181">
        <f>Займы!BG13</f>
        <v>0</v>
      </c>
      <c r="BH24" s="181">
        <f>Займы!BH13</f>
        <v>0</v>
      </c>
      <c r="BI24" s="181">
        <f>Займы!BI13</f>
        <v>0</v>
      </c>
      <c r="BJ24" s="181">
        <f>Займы!BJ13</f>
        <v>0</v>
      </c>
      <c r="BK24" s="181">
        <f>Займы!BK13</f>
        <v>0</v>
      </c>
      <c r="BL24" s="181">
        <f>Займы!BL13</f>
        <v>0</v>
      </c>
      <c r="BM24" s="181">
        <f>Займы!BM13</f>
        <v>0</v>
      </c>
      <c r="BN24" s="181">
        <f>Займы!BN13</f>
        <v>0</v>
      </c>
      <c r="BO24" s="181">
        <f>Займы!BO13</f>
        <v>0</v>
      </c>
      <c r="BP24" s="181">
        <f>Займы!BP13</f>
        <v>0</v>
      </c>
      <c r="BQ24" s="181">
        <f>Займы!BQ13</f>
        <v>0</v>
      </c>
      <c r="BR24" s="181">
        <f>Займы!BR13</f>
        <v>0</v>
      </c>
      <c r="BS24" s="181">
        <f>Займы!BS13</f>
        <v>0</v>
      </c>
      <c r="BT24" s="181">
        <f>Займы!BT13</f>
        <v>0</v>
      </c>
      <c r="BU24" s="181">
        <f>Займы!BU13</f>
        <v>0</v>
      </c>
      <c r="BV24" s="181">
        <f>Займы!BV13</f>
        <v>0</v>
      </c>
      <c r="BW24" s="181">
        <f>Займы!BW13</f>
        <v>0</v>
      </c>
      <c r="BX24" s="181">
        <f>Займы!BX13</f>
        <v>0</v>
      </c>
    </row>
    <row r="25" spans="1:76" s="83" customFormat="1" x14ac:dyDescent="0.25">
      <c r="A25" s="180" t="s">
        <v>121</v>
      </c>
      <c r="B25" s="181">
        <f>Займы!B14</f>
        <v>0</v>
      </c>
      <c r="C25" s="181">
        <f>Займы!C14</f>
        <v>0</v>
      </c>
      <c r="D25" s="181">
        <f>Займы!D14</f>
        <v>0</v>
      </c>
      <c r="E25" s="181">
        <f>Займы!E14</f>
        <v>0</v>
      </c>
      <c r="F25" s="181">
        <f>Займы!F14</f>
        <v>0</v>
      </c>
      <c r="G25" s="181">
        <f>Займы!G14</f>
        <v>0</v>
      </c>
      <c r="H25" s="181">
        <f>Займы!H14</f>
        <v>0</v>
      </c>
      <c r="I25" s="181">
        <f>Займы!I14</f>
        <v>0</v>
      </c>
      <c r="J25" s="181">
        <f>Займы!J14</f>
        <v>0</v>
      </c>
      <c r="K25" s="181">
        <f>Займы!K14</f>
        <v>0</v>
      </c>
      <c r="L25" s="181">
        <f>Займы!L14</f>
        <v>0</v>
      </c>
      <c r="M25" s="181">
        <f>Займы!M14</f>
        <v>0</v>
      </c>
      <c r="N25" s="181">
        <f>Займы!N14</f>
        <v>0</v>
      </c>
      <c r="O25" s="181">
        <f>Займы!O14</f>
        <v>0</v>
      </c>
      <c r="P25" s="181">
        <f>Займы!P14</f>
        <v>0</v>
      </c>
      <c r="Q25" s="181">
        <f>Займы!Q14</f>
        <v>0</v>
      </c>
      <c r="R25" s="181">
        <f>Займы!R14</f>
        <v>0</v>
      </c>
      <c r="S25" s="181">
        <f>Займы!S14</f>
        <v>0</v>
      </c>
      <c r="T25" s="181">
        <f>Займы!T14</f>
        <v>0</v>
      </c>
      <c r="U25" s="181">
        <f>Займы!U14</f>
        <v>0</v>
      </c>
      <c r="V25" s="181">
        <f>Займы!V14</f>
        <v>0</v>
      </c>
      <c r="W25" s="181">
        <f>Займы!W14</f>
        <v>0</v>
      </c>
      <c r="X25" s="181">
        <f>Займы!X14</f>
        <v>0</v>
      </c>
      <c r="Y25" s="181">
        <f>Займы!Y14</f>
        <v>0</v>
      </c>
      <c r="Z25" s="181">
        <f>Займы!Z14</f>
        <v>0</v>
      </c>
      <c r="AA25" s="181">
        <f>Займы!AA14</f>
        <v>0</v>
      </c>
      <c r="AB25" s="181">
        <f>Займы!AB14</f>
        <v>0</v>
      </c>
      <c r="AC25" s="181">
        <f>Займы!AC14</f>
        <v>0</v>
      </c>
      <c r="AD25" s="181">
        <f>Займы!AD14</f>
        <v>0</v>
      </c>
      <c r="AE25" s="181">
        <f>Займы!AE14</f>
        <v>0</v>
      </c>
      <c r="AF25" s="181">
        <f>Займы!AF14</f>
        <v>0</v>
      </c>
      <c r="AG25" s="181">
        <f>Займы!AG14</f>
        <v>0</v>
      </c>
      <c r="AH25" s="181">
        <f>Займы!AH14</f>
        <v>0</v>
      </c>
      <c r="AI25" s="181">
        <f>Займы!AI14</f>
        <v>0</v>
      </c>
      <c r="AJ25" s="181">
        <f>Займы!AJ14</f>
        <v>0</v>
      </c>
      <c r="AK25" s="181">
        <f>Займы!AK14</f>
        <v>0</v>
      </c>
      <c r="AL25" s="181">
        <f>Займы!AL14</f>
        <v>0</v>
      </c>
      <c r="AM25" s="181">
        <f>Займы!AM14</f>
        <v>0</v>
      </c>
      <c r="AN25" s="181">
        <f>Займы!AN14</f>
        <v>0</v>
      </c>
      <c r="AO25" s="181">
        <f>Займы!AO14</f>
        <v>0</v>
      </c>
      <c r="AP25" s="181">
        <f>Займы!AP14</f>
        <v>0</v>
      </c>
      <c r="AQ25" s="181">
        <f>Займы!AQ14</f>
        <v>0</v>
      </c>
      <c r="AR25" s="181">
        <f>Займы!AR14</f>
        <v>0</v>
      </c>
      <c r="AS25" s="181">
        <f>Займы!AS14</f>
        <v>0</v>
      </c>
      <c r="AT25" s="181">
        <f>Займы!AT14</f>
        <v>0</v>
      </c>
      <c r="AU25" s="181">
        <f>Займы!AU14</f>
        <v>0</v>
      </c>
      <c r="AV25" s="181">
        <f>Займы!AV14</f>
        <v>0</v>
      </c>
      <c r="AW25" s="181">
        <f>Займы!AW14</f>
        <v>0</v>
      </c>
      <c r="AX25" s="181">
        <f>Займы!AX14</f>
        <v>0</v>
      </c>
      <c r="AY25" s="181">
        <f>Займы!AY14</f>
        <v>0</v>
      </c>
      <c r="AZ25" s="181">
        <f>Займы!AZ14</f>
        <v>0</v>
      </c>
      <c r="BA25" s="181">
        <f>Займы!BA14</f>
        <v>0</v>
      </c>
      <c r="BB25" s="181">
        <f>Займы!BB14</f>
        <v>0</v>
      </c>
      <c r="BC25" s="181">
        <f>Займы!BC14</f>
        <v>0</v>
      </c>
      <c r="BD25" s="181">
        <f>Займы!BD14</f>
        <v>0</v>
      </c>
      <c r="BE25" s="181">
        <f>Займы!BE14</f>
        <v>0</v>
      </c>
      <c r="BF25" s="181">
        <f>Займы!BF14</f>
        <v>0</v>
      </c>
      <c r="BG25" s="181">
        <f>Займы!BG14</f>
        <v>0</v>
      </c>
      <c r="BH25" s="181">
        <f>Займы!BH14</f>
        <v>0</v>
      </c>
      <c r="BI25" s="181">
        <f>Займы!BI14</f>
        <v>0</v>
      </c>
      <c r="BJ25" s="181">
        <f>Займы!BJ14</f>
        <v>0</v>
      </c>
      <c r="BK25" s="181">
        <f>Займы!BK14</f>
        <v>0</v>
      </c>
      <c r="BL25" s="181">
        <f>Займы!BL14</f>
        <v>0</v>
      </c>
      <c r="BM25" s="181">
        <f>Займы!BM14</f>
        <v>0</v>
      </c>
      <c r="BN25" s="181">
        <f>Займы!BN14</f>
        <v>0</v>
      </c>
      <c r="BO25" s="181">
        <f>Займы!BO14</f>
        <v>0</v>
      </c>
      <c r="BP25" s="181">
        <f>Займы!BP14</f>
        <v>0</v>
      </c>
      <c r="BQ25" s="181">
        <f>Займы!BQ14</f>
        <v>0</v>
      </c>
      <c r="BR25" s="181">
        <f>Займы!BR14</f>
        <v>0</v>
      </c>
      <c r="BS25" s="181">
        <f>Займы!BS14</f>
        <v>0</v>
      </c>
      <c r="BT25" s="181">
        <f>Займы!BT14</f>
        <v>0</v>
      </c>
      <c r="BU25" s="181">
        <f>Займы!BU14</f>
        <v>0</v>
      </c>
      <c r="BV25" s="181">
        <f>Займы!BV14</f>
        <v>0</v>
      </c>
      <c r="BW25" s="181">
        <f>Займы!BW14</f>
        <v>0</v>
      </c>
      <c r="BX25" s="181">
        <f>Займы!BX14</f>
        <v>0</v>
      </c>
    </row>
    <row r="26" spans="1:76" s="13" customFormat="1" x14ac:dyDescent="0.25">
      <c r="A26" s="176" t="s">
        <v>682</v>
      </c>
      <c r="B26" s="179">
        <f>SUM(B27:B28)</f>
        <v>0</v>
      </c>
      <c r="C26" s="179">
        <f t="shared" ref="C26:BN26" si="13">SUM(C27:C28)</f>
        <v>0</v>
      </c>
      <c r="D26" s="179">
        <f t="shared" si="13"/>
        <v>0</v>
      </c>
      <c r="E26" s="179">
        <f t="shared" si="13"/>
        <v>0</v>
      </c>
      <c r="F26" s="179">
        <f t="shared" si="13"/>
        <v>0</v>
      </c>
      <c r="G26" s="179">
        <f t="shared" si="13"/>
        <v>0</v>
      </c>
      <c r="H26" s="179">
        <f t="shared" si="13"/>
        <v>0</v>
      </c>
      <c r="I26" s="179">
        <f t="shared" si="13"/>
        <v>0</v>
      </c>
      <c r="J26" s="179">
        <f t="shared" si="13"/>
        <v>0</v>
      </c>
      <c r="K26" s="179">
        <f t="shared" si="13"/>
        <v>0</v>
      </c>
      <c r="L26" s="179">
        <f t="shared" si="13"/>
        <v>0</v>
      </c>
      <c r="M26" s="179">
        <f t="shared" si="13"/>
        <v>0</v>
      </c>
      <c r="N26" s="179">
        <f t="shared" si="13"/>
        <v>0</v>
      </c>
      <c r="O26" s="179">
        <f t="shared" si="13"/>
        <v>0</v>
      </c>
      <c r="P26" s="179">
        <f t="shared" si="13"/>
        <v>0</v>
      </c>
      <c r="Q26" s="179">
        <f t="shared" si="13"/>
        <v>3109.7215999999999</v>
      </c>
      <c r="R26" s="179">
        <f t="shared" si="13"/>
        <v>572.19758999999999</v>
      </c>
      <c r="S26" s="179">
        <f t="shared" si="13"/>
        <v>559.76504</v>
      </c>
      <c r="T26" s="179">
        <f t="shared" si="13"/>
        <v>566.94835</v>
      </c>
      <c r="U26" s="179">
        <f t="shared" si="13"/>
        <v>561.22375</v>
      </c>
      <c r="V26" s="179">
        <f t="shared" si="13"/>
        <v>561.69911000000002</v>
      </c>
      <c r="W26" s="179">
        <f t="shared" si="13"/>
        <v>556.14382999999998</v>
      </c>
      <c r="X26" s="179">
        <f t="shared" si="13"/>
        <v>556.44986000000006</v>
      </c>
      <c r="Y26" s="179">
        <f t="shared" si="13"/>
        <v>553.82524000000001</v>
      </c>
      <c r="Z26" s="179">
        <f t="shared" si="13"/>
        <v>548.52395999999999</v>
      </c>
      <c r="AA26" s="179">
        <f t="shared" si="13"/>
        <v>548.57600000000002</v>
      </c>
      <c r="AB26" s="179">
        <f t="shared" si="13"/>
        <v>543.44405000000006</v>
      </c>
      <c r="AC26" s="179">
        <f t="shared" si="13"/>
        <v>543.32675000000006</v>
      </c>
      <c r="AD26" s="179">
        <f t="shared" si="13"/>
        <v>540.70213000000001</v>
      </c>
      <c r="AE26" s="179">
        <f t="shared" si="13"/>
        <v>531.31753000000003</v>
      </c>
      <c r="AF26" s="179">
        <f t="shared" si="13"/>
        <v>535.45288000000005</v>
      </c>
      <c r="AG26" s="179">
        <f t="shared" si="13"/>
        <v>530.74426000000005</v>
      </c>
      <c r="AH26" s="179">
        <f t="shared" si="13"/>
        <v>530.20364000000006</v>
      </c>
      <c r="AI26" s="179">
        <f t="shared" si="13"/>
        <v>525.66435000000001</v>
      </c>
      <c r="AJ26" s="179">
        <f t="shared" si="13"/>
        <v>524.95440000000008</v>
      </c>
      <c r="AK26" s="179">
        <f t="shared" si="13"/>
        <v>522.32977000000005</v>
      </c>
      <c r="AL26" s="179">
        <f t="shared" si="13"/>
        <v>518.04448000000002</v>
      </c>
      <c r="AM26" s="179">
        <f t="shared" si="13"/>
        <v>517.08053000000007</v>
      </c>
      <c r="AN26" s="179">
        <f t="shared" si="13"/>
        <v>512.96457000000009</v>
      </c>
      <c r="AO26" s="179">
        <f t="shared" si="13"/>
        <v>511.79285000000004</v>
      </c>
      <c r="AP26" s="179">
        <f t="shared" si="13"/>
        <v>509.09469000000001</v>
      </c>
      <c r="AQ26" s="179">
        <f t="shared" si="13"/>
        <v>504.00931000000003</v>
      </c>
      <c r="AR26" s="179">
        <f t="shared" si="13"/>
        <v>503.85979000000003</v>
      </c>
      <c r="AS26" s="179">
        <f t="shared" si="13"/>
        <v>500.17724000000004</v>
      </c>
      <c r="AT26" s="179">
        <f t="shared" si="13"/>
        <v>498.62488000000002</v>
      </c>
      <c r="AU26" s="179">
        <f t="shared" si="13"/>
        <v>495.11120000000005</v>
      </c>
      <c r="AV26" s="179">
        <f t="shared" si="13"/>
        <v>493.38998000000004</v>
      </c>
      <c r="AW26" s="179">
        <f t="shared" si="13"/>
        <v>490.77253000000002</v>
      </c>
      <c r="AX26" s="179">
        <f t="shared" si="13"/>
        <v>487.51215000000002</v>
      </c>
      <c r="AY26" s="179">
        <f t="shared" si="13"/>
        <v>485.53763000000004</v>
      </c>
      <c r="AZ26" s="179">
        <f t="shared" si="13"/>
        <v>668.90371999999991</v>
      </c>
      <c r="BA26" s="179">
        <f t="shared" si="13"/>
        <v>293.11628000000002</v>
      </c>
      <c r="BB26" s="179">
        <f t="shared" si="13"/>
        <v>291.55563000000001</v>
      </c>
      <c r="BC26" s="179">
        <f t="shared" si="13"/>
        <v>289.20943</v>
      </c>
      <c r="BD26" s="179">
        <f t="shared" si="13"/>
        <v>288.39336000000003</v>
      </c>
      <c r="BE26" s="179">
        <f t="shared" si="13"/>
        <v>286.65922</v>
      </c>
      <c r="BF26" s="179">
        <f t="shared" si="13"/>
        <v>285.23110000000003</v>
      </c>
      <c r="BG26" s="179">
        <f t="shared" si="13"/>
        <v>283.49683999999996</v>
      </c>
      <c r="BH26" s="179">
        <f t="shared" si="13"/>
        <v>0</v>
      </c>
      <c r="BI26" s="179">
        <f t="shared" si="13"/>
        <v>0</v>
      </c>
      <c r="BJ26" s="179">
        <f t="shared" si="13"/>
        <v>0</v>
      </c>
      <c r="BK26" s="179">
        <f t="shared" si="13"/>
        <v>0</v>
      </c>
      <c r="BL26" s="179">
        <f t="shared" si="13"/>
        <v>0</v>
      </c>
      <c r="BM26" s="179">
        <f t="shared" si="13"/>
        <v>0</v>
      </c>
      <c r="BN26" s="179">
        <f t="shared" si="13"/>
        <v>0</v>
      </c>
      <c r="BO26" s="179">
        <f t="shared" ref="BO26:BX26" si="14">SUM(BO27:BO28)</f>
        <v>0</v>
      </c>
      <c r="BP26" s="179">
        <f t="shared" si="14"/>
        <v>0</v>
      </c>
      <c r="BQ26" s="179">
        <f t="shared" si="14"/>
        <v>0</v>
      </c>
      <c r="BR26" s="179">
        <f t="shared" si="14"/>
        <v>0</v>
      </c>
      <c r="BS26" s="179">
        <f t="shared" si="14"/>
        <v>0</v>
      </c>
      <c r="BT26" s="179">
        <f t="shared" si="14"/>
        <v>0</v>
      </c>
      <c r="BU26" s="179">
        <f t="shared" si="14"/>
        <v>0</v>
      </c>
      <c r="BV26" s="179">
        <f t="shared" si="14"/>
        <v>0</v>
      </c>
      <c r="BW26" s="179">
        <f t="shared" si="14"/>
        <v>0</v>
      </c>
      <c r="BX26" s="179">
        <f t="shared" si="14"/>
        <v>0</v>
      </c>
    </row>
    <row r="27" spans="1:76" s="83" customFormat="1" x14ac:dyDescent="0.25">
      <c r="A27" s="180" t="s">
        <v>175</v>
      </c>
      <c r="B27" s="181">
        <f>Займы!B20</f>
        <v>0</v>
      </c>
      <c r="C27" s="181">
        <f>Займы!C20</f>
        <v>0</v>
      </c>
      <c r="D27" s="181">
        <f>Займы!D20</f>
        <v>0</v>
      </c>
      <c r="E27" s="181">
        <f>Займы!E20</f>
        <v>0</v>
      </c>
      <c r="F27" s="181">
        <f>Займы!F20</f>
        <v>0</v>
      </c>
      <c r="G27" s="181">
        <f>Займы!G20</f>
        <v>0</v>
      </c>
      <c r="H27" s="181">
        <f>Займы!H20</f>
        <v>0</v>
      </c>
      <c r="I27" s="181">
        <f>Займы!I20</f>
        <v>0</v>
      </c>
      <c r="J27" s="181">
        <f>Займы!J20</f>
        <v>0</v>
      </c>
      <c r="K27" s="181">
        <f>Займы!K20</f>
        <v>0</v>
      </c>
      <c r="L27" s="181">
        <f>Займы!L20</f>
        <v>0</v>
      </c>
      <c r="M27" s="181">
        <f>Займы!M20</f>
        <v>0</v>
      </c>
      <c r="N27" s="181">
        <f>Займы!N20</f>
        <v>0</v>
      </c>
      <c r="O27" s="181">
        <f>Займы!O20</f>
        <v>0</v>
      </c>
      <c r="P27" s="181">
        <f>Займы!P20</f>
        <v>0</v>
      </c>
      <c r="Q27" s="181">
        <f>Займы!Q20</f>
        <v>2641.49719</v>
      </c>
      <c r="R27" s="181">
        <f>Займы!R20</f>
        <v>103.97318</v>
      </c>
      <c r="S27" s="181">
        <f>Займы!S20</f>
        <v>91.540629999999993</v>
      </c>
      <c r="T27" s="181">
        <f>Займы!T20</f>
        <v>98.723939999999999</v>
      </c>
      <c r="U27" s="181">
        <f>Займы!U20</f>
        <v>92.999339999999989</v>
      </c>
      <c r="V27" s="181">
        <f>Займы!V20</f>
        <v>93.474700000000013</v>
      </c>
      <c r="W27" s="181">
        <f>Займы!W20</f>
        <v>87.919420000000002</v>
      </c>
      <c r="X27" s="181">
        <f>Займы!X20</f>
        <v>88.225449999999995</v>
      </c>
      <c r="Y27" s="181">
        <f>Займы!Y20</f>
        <v>85.600830000000002</v>
      </c>
      <c r="Z27" s="181">
        <f>Займы!Z20</f>
        <v>80.299549999999996</v>
      </c>
      <c r="AA27" s="181">
        <f>Займы!AA20</f>
        <v>80.351590000000002</v>
      </c>
      <c r="AB27" s="181">
        <f>Займы!AB20</f>
        <v>75.219639999999998</v>
      </c>
      <c r="AC27" s="181">
        <f>Займы!AC20</f>
        <v>75.102339999999998</v>
      </c>
      <c r="AD27" s="181">
        <f>Займы!AD20</f>
        <v>72.477720000000005</v>
      </c>
      <c r="AE27" s="181">
        <f>Займы!AE20</f>
        <v>63.093119999999999</v>
      </c>
      <c r="AF27" s="181">
        <f>Займы!AF20</f>
        <v>67.228470000000002</v>
      </c>
      <c r="AG27" s="181">
        <f>Займы!AG20</f>
        <v>62.519850000000005</v>
      </c>
      <c r="AH27" s="181">
        <f>Займы!AH20</f>
        <v>61.979230000000001</v>
      </c>
      <c r="AI27" s="181">
        <f>Займы!AI20</f>
        <v>57.439939999999993</v>
      </c>
      <c r="AJ27" s="181">
        <f>Займы!AJ20</f>
        <v>56.729990000000001</v>
      </c>
      <c r="AK27" s="181">
        <f>Займы!AK20</f>
        <v>54.105360000000005</v>
      </c>
      <c r="AL27" s="181">
        <f>Займы!AL20</f>
        <v>49.820070000000001</v>
      </c>
      <c r="AM27" s="181">
        <f>Займы!AM20</f>
        <v>48.856120000000004</v>
      </c>
      <c r="AN27" s="181">
        <f>Займы!AN20</f>
        <v>44.740160000000003</v>
      </c>
      <c r="AO27" s="181">
        <f>Займы!AO20</f>
        <v>43.568440000000002</v>
      </c>
      <c r="AP27" s="181">
        <f>Займы!AP20</f>
        <v>40.870280000000001</v>
      </c>
      <c r="AQ27" s="181">
        <f>Займы!AQ20</f>
        <v>35.7849</v>
      </c>
      <c r="AR27" s="181">
        <f>Займы!AR20</f>
        <v>35.635379999999998</v>
      </c>
      <c r="AS27" s="181">
        <f>Займы!AS20</f>
        <v>31.952829999999999</v>
      </c>
      <c r="AT27" s="181">
        <f>Займы!AT20</f>
        <v>30.400469999999999</v>
      </c>
      <c r="AU27" s="181">
        <f>Займы!AU20</f>
        <v>26.886789999999998</v>
      </c>
      <c r="AV27" s="181">
        <f>Займы!AV20</f>
        <v>25.165570000000002</v>
      </c>
      <c r="AW27" s="181">
        <f>Займы!AW20</f>
        <v>22.548119999999997</v>
      </c>
      <c r="AX27" s="181">
        <f>Займы!AX20</f>
        <v>19.287739999999999</v>
      </c>
      <c r="AY27" s="181">
        <f>Займы!AY20</f>
        <v>17.313220000000001</v>
      </c>
      <c r="AZ27" s="181">
        <f>Займы!AZ20</f>
        <v>14.52383</v>
      </c>
      <c r="BA27" s="181">
        <f>Займы!BA20</f>
        <v>11.04744</v>
      </c>
      <c r="BB27" s="181">
        <f>Займы!BB20</f>
        <v>9.4867900000000009</v>
      </c>
      <c r="BC27" s="181">
        <f>Займы!BC20</f>
        <v>7.1405900000000004</v>
      </c>
      <c r="BD27" s="181">
        <f>Займы!BD20</f>
        <v>6.3245200000000006</v>
      </c>
      <c r="BE27" s="181">
        <f>Займы!BE20</f>
        <v>4.5903799999999997</v>
      </c>
      <c r="BF27" s="181">
        <f>Займы!BF20</f>
        <v>3.1622600000000003</v>
      </c>
      <c r="BG27" s="181">
        <f>Займы!BG20</f>
        <v>1.4281199999999998</v>
      </c>
      <c r="BH27" s="181">
        <f>Займы!BH20</f>
        <v>0</v>
      </c>
      <c r="BI27" s="181">
        <f>Займы!BI20</f>
        <v>0</v>
      </c>
      <c r="BJ27" s="181">
        <f>Займы!BJ20</f>
        <v>0</v>
      </c>
      <c r="BK27" s="181">
        <f>Займы!BK20</f>
        <v>0</v>
      </c>
      <c r="BL27" s="181">
        <f>Займы!BL20</f>
        <v>0</v>
      </c>
      <c r="BM27" s="181">
        <f>Займы!BM20</f>
        <v>0</v>
      </c>
      <c r="BN27" s="181">
        <f>Займы!BN20</f>
        <v>0</v>
      </c>
      <c r="BO27" s="181">
        <f>Займы!BO20</f>
        <v>0</v>
      </c>
      <c r="BP27" s="181">
        <f>Займы!BP20</f>
        <v>0</v>
      </c>
      <c r="BQ27" s="181">
        <f>Займы!BQ20</f>
        <v>0</v>
      </c>
      <c r="BR27" s="181">
        <f>Займы!BR20</f>
        <v>0</v>
      </c>
      <c r="BS27" s="181">
        <f>Займы!BS20</f>
        <v>0</v>
      </c>
      <c r="BT27" s="181">
        <f>Займы!BT20</f>
        <v>0</v>
      </c>
      <c r="BU27" s="181">
        <f>Займы!BU20</f>
        <v>0</v>
      </c>
      <c r="BV27" s="181">
        <f>Займы!BV20</f>
        <v>0</v>
      </c>
      <c r="BW27" s="181">
        <f>Займы!BW20</f>
        <v>0</v>
      </c>
      <c r="BX27" s="181">
        <f>Займы!BX20</f>
        <v>0</v>
      </c>
    </row>
    <row r="28" spans="1:76" s="83" customFormat="1" x14ac:dyDescent="0.25">
      <c r="A28" s="180" t="s">
        <v>121</v>
      </c>
      <c r="B28" s="181">
        <f>Займы!B23</f>
        <v>0</v>
      </c>
      <c r="C28" s="181">
        <f>Займы!C23</f>
        <v>0</v>
      </c>
      <c r="D28" s="181">
        <f>Займы!D23</f>
        <v>0</v>
      </c>
      <c r="E28" s="181">
        <f>Займы!E23</f>
        <v>0</v>
      </c>
      <c r="F28" s="181">
        <f>Займы!F23</f>
        <v>0</v>
      </c>
      <c r="G28" s="181">
        <f>Займы!G23</f>
        <v>0</v>
      </c>
      <c r="H28" s="181">
        <f>Займы!H23</f>
        <v>0</v>
      </c>
      <c r="I28" s="181">
        <f>Займы!I23</f>
        <v>0</v>
      </c>
      <c r="J28" s="181">
        <f>Займы!J23</f>
        <v>0</v>
      </c>
      <c r="K28" s="181">
        <f>Займы!K23</f>
        <v>0</v>
      </c>
      <c r="L28" s="181">
        <f>Займы!L23</f>
        <v>0</v>
      </c>
      <c r="M28" s="181">
        <f>Займы!M23</f>
        <v>0</v>
      </c>
      <c r="N28" s="181">
        <f>Займы!N23</f>
        <v>0</v>
      </c>
      <c r="O28" s="181">
        <f>Займы!O23</f>
        <v>0</v>
      </c>
      <c r="P28" s="181">
        <f>Займы!P23</f>
        <v>0</v>
      </c>
      <c r="Q28" s="181">
        <f>Займы!Q23</f>
        <v>468.22441000000003</v>
      </c>
      <c r="R28" s="181">
        <f>Займы!R23</f>
        <v>468.22441000000003</v>
      </c>
      <c r="S28" s="181">
        <f>Займы!S23</f>
        <v>468.22441000000003</v>
      </c>
      <c r="T28" s="181">
        <f>Займы!T23</f>
        <v>468.22441000000003</v>
      </c>
      <c r="U28" s="181">
        <f>Займы!U23</f>
        <v>468.22441000000003</v>
      </c>
      <c r="V28" s="181">
        <f>Займы!V23</f>
        <v>468.22441000000003</v>
      </c>
      <c r="W28" s="181">
        <f>Займы!W23</f>
        <v>468.22441000000003</v>
      </c>
      <c r="X28" s="181">
        <f>Займы!X23</f>
        <v>468.22441000000003</v>
      </c>
      <c r="Y28" s="181">
        <f>Займы!Y23</f>
        <v>468.22441000000003</v>
      </c>
      <c r="Z28" s="181">
        <f>Займы!Z23</f>
        <v>468.22441000000003</v>
      </c>
      <c r="AA28" s="181">
        <f>Займы!AA23</f>
        <v>468.22441000000003</v>
      </c>
      <c r="AB28" s="181">
        <f>Займы!AB23</f>
        <v>468.22441000000003</v>
      </c>
      <c r="AC28" s="181">
        <f>Займы!AC23</f>
        <v>468.22441000000003</v>
      </c>
      <c r="AD28" s="181">
        <f>Займы!AD23</f>
        <v>468.22441000000003</v>
      </c>
      <c r="AE28" s="181">
        <f>Займы!AE23</f>
        <v>468.22441000000003</v>
      </c>
      <c r="AF28" s="181">
        <f>Займы!AF23</f>
        <v>468.22441000000003</v>
      </c>
      <c r="AG28" s="181">
        <f>Займы!AG23</f>
        <v>468.22441000000003</v>
      </c>
      <c r="AH28" s="181">
        <f>Займы!AH23</f>
        <v>468.22441000000003</v>
      </c>
      <c r="AI28" s="181">
        <f>Займы!AI23</f>
        <v>468.22441000000003</v>
      </c>
      <c r="AJ28" s="181">
        <f>Займы!AJ23</f>
        <v>468.22441000000003</v>
      </c>
      <c r="AK28" s="181">
        <f>Займы!AK23</f>
        <v>468.22441000000003</v>
      </c>
      <c r="AL28" s="181">
        <f>Займы!AL23</f>
        <v>468.22441000000003</v>
      </c>
      <c r="AM28" s="181">
        <f>Займы!AM23</f>
        <v>468.22441000000003</v>
      </c>
      <c r="AN28" s="181">
        <f>Займы!AN23</f>
        <v>468.22441000000003</v>
      </c>
      <c r="AO28" s="181">
        <f>Займы!AO23</f>
        <v>468.22441000000003</v>
      </c>
      <c r="AP28" s="181">
        <f>Займы!AP23</f>
        <v>468.22441000000003</v>
      </c>
      <c r="AQ28" s="181">
        <f>Займы!AQ23</f>
        <v>468.22441000000003</v>
      </c>
      <c r="AR28" s="181">
        <f>Займы!AR23</f>
        <v>468.22441000000003</v>
      </c>
      <c r="AS28" s="181">
        <f>Займы!AS23</f>
        <v>468.22441000000003</v>
      </c>
      <c r="AT28" s="181">
        <f>Займы!AT23</f>
        <v>468.22441000000003</v>
      </c>
      <c r="AU28" s="181">
        <f>Займы!AU23</f>
        <v>468.22441000000003</v>
      </c>
      <c r="AV28" s="181">
        <f>Займы!AV23</f>
        <v>468.22441000000003</v>
      </c>
      <c r="AW28" s="181">
        <f>Займы!AW23</f>
        <v>468.22441000000003</v>
      </c>
      <c r="AX28" s="181">
        <f>Займы!AX23</f>
        <v>468.22441000000003</v>
      </c>
      <c r="AY28" s="181">
        <f>Займы!AY23</f>
        <v>468.22441000000003</v>
      </c>
      <c r="AZ28" s="181">
        <f>Займы!AZ23</f>
        <v>654.37988999999993</v>
      </c>
      <c r="BA28" s="181">
        <f>Займы!BA23</f>
        <v>282.06884000000002</v>
      </c>
      <c r="BB28" s="181">
        <f>Займы!BB23</f>
        <v>282.06884000000002</v>
      </c>
      <c r="BC28" s="181">
        <f>Займы!BC23</f>
        <v>282.06884000000002</v>
      </c>
      <c r="BD28" s="181">
        <f>Займы!BD23</f>
        <v>282.06884000000002</v>
      </c>
      <c r="BE28" s="181">
        <f>Займы!BE23</f>
        <v>282.06884000000002</v>
      </c>
      <c r="BF28" s="181">
        <f>Займы!BF23</f>
        <v>282.06884000000002</v>
      </c>
      <c r="BG28" s="181">
        <f>Займы!BG23</f>
        <v>282.06871999999998</v>
      </c>
      <c r="BH28" s="181">
        <f>Займы!BH23</f>
        <v>0</v>
      </c>
      <c r="BI28" s="181">
        <f>Займы!BI23</f>
        <v>0</v>
      </c>
      <c r="BJ28" s="181">
        <f>Займы!BJ23</f>
        <v>0</v>
      </c>
      <c r="BK28" s="181">
        <f>Займы!BK23</f>
        <v>0</v>
      </c>
      <c r="BL28" s="181">
        <f>Займы!BL23</f>
        <v>0</v>
      </c>
      <c r="BM28" s="181">
        <f>Займы!BM23</f>
        <v>0</v>
      </c>
      <c r="BN28" s="181">
        <f>Займы!BN23</f>
        <v>0</v>
      </c>
      <c r="BO28" s="181">
        <f>Займы!BO23</f>
        <v>0</v>
      </c>
      <c r="BP28" s="181">
        <f>Займы!BP23</f>
        <v>0</v>
      </c>
      <c r="BQ28" s="181">
        <f>Займы!BQ23</f>
        <v>0</v>
      </c>
      <c r="BR28" s="181">
        <f>Займы!BR23</f>
        <v>0</v>
      </c>
      <c r="BS28" s="181">
        <f>Займы!BS23</f>
        <v>0</v>
      </c>
      <c r="BT28" s="181">
        <f>Займы!BT23</f>
        <v>0</v>
      </c>
      <c r="BU28" s="181">
        <f>Займы!BU23</f>
        <v>0</v>
      </c>
      <c r="BV28" s="181">
        <f>Займы!BV23</f>
        <v>0</v>
      </c>
      <c r="BW28" s="181">
        <f>Займы!BW23</f>
        <v>0</v>
      </c>
      <c r="BX28" s="181">
        <f>Займы!BX23</f>
        <v>0</v>
      </c>
    </row>
    <row r="29" spans="1:76" s="83" customFormat="1" x14ac:dyDescent="0.25">
      <c r="A29" s="426" t="s">
        <v>674</v>
      </c>
      <c r="B29" s="181">
        <f>ОФР!B20</f>
        <v>-123.791</v>
      </c>
      <c r="C29" s="181">
        <f>IF(B29&lt;0,B29+ОФР!C19,ОФР!C19)</f>
        <v>-247.58199999999999</v>
      </c>
      <c r="D29" s="181">
        <f>IF(C29&lt;0,C29+ОФР!D19,ОФР!D19)</f>
        <v>-371.37299999999999</v>
      </c>
      <c r="E29" s="181">
        <f>IF(D29&lt;0,D29+ОФР!E19,ОФР!E19)</f>
        <v>-500.11563999999998</v>
      </c>
      <c r="F29" s="181">
        <f>IF(E29&lt;0,E29+ОФР!F19,ОФР!F19)</f>
        <v>-628.85827999999992</v>
      </c>
      <c r="G29" s="181">
        <f>IF(F29&lt;0,F29+ОФР!G19,ОФР!G19)</f>
        <v>-757.60091999999986</v>
      </c>
      <c r="H29" s="181">
        <f>IF(G29&lt;0,G29+ОФР!H19,ОФР!H19)</f>
        <v>-886.3435599999998</v>
      </c>
      <c r="I29" s="181">
        <f>IF(H29&lt;0,H29+ОФР!I19,ОФР!I19)</f>
        <v>-1015.0861999999997</v>
      </c>
      <c r="J29" s="181">
        <f>IF(I29&lt;0,I29+ОФР!J19,ОФР!J19)</f>
        <v>-1395.4256399999997</v>
      </c>
      <c r="K29" s="181">
        <f>IF(J29&lt;0,J29+ОФР!K19,ОФР!K19)</f>
        <v>724.03909613854535</v>
      </c>
      <c r="L29" s="181">
        <f>IF(K29&lt;0,K29+ОФР!L19,ОФР!L19)</f>
        <v>1874.4695994439812</v>
      </c>
      <c r="M29" s="181">
        <f>IF(L29&lt;0,L29+ОФР!M19,ОФР!M19)</f>
        <v>1127.3437492573216</v>
      </c>
      <c r="N29" s="181">
        <f>IF(M29&lt;0,M29+ОФР!N19,ОФР!N19)</f>
        <v>734.27279447536478</v>
      </c>
      <c r="O29" s="181">
        <f>IF(N29&lt;0,N29+ОФР!O19,ОФР!O19)</f>
        <v>-166.32546872022368</v>
      </c>
      <c r="P29" s="181">
        <f>IF(O29&lt;0,O29+ОФР!P19,ОФР!P19)</f>
        <v>3737.0585115815024</v>
      </c>
      <c r="Q29" s="181">
        <f>IF(P29&lt;0,P29+ОФР!Q19,ОФР!Q19)</f>
        <v>-1734.395647085857</v>
      </c>
      <c r="R29" s="181">
        <f>IF(Q29&lt;0,Q29+ОФР!R19,ОФР!R19)</f>
        <v>-1701.8903429431525</v>
      </c>
      <c r="S29" s="181">
        <f>IF(R29&lt;0,R29+ОФР!S19,ОФР!S19)</f>
        <v>-494.99477677034429</v>
      </c>
      <c r="T29" s="181">
        <f>IF(S29&lt;0,S29+ОФР!T19,ОФР!T19)</f>
        <v>7.3590966724148075</v>
      </c>
      <c r="U29" s="181">
        <f>IF(T29&lt;0,T29+ОФР!U19,ОФР!U19)</f>
        <v>3507.9871595955965</v>
      </c>
      <c r="V29" s="181">
        <f>IF(U29&lt;0,U29+ОФР!V19,ОФР!V19)</f>
        <v>4420.2971514023411</v>
      </c>
      <c r="W29" s="181">
        <f>IF(V29&lt;0,V29+ОФР!W19,ОФР!W19)</f>
        <v>5776.2577408224533</v>
      </c>
      <c r="X29" s="181">
        <f>IF(W29&lt;0,W29+ОФР!X19,ОФР!X19)</f>
        <v>5211.7697056841007</v>
      </c>
      <c r="Y29" s="181">
        <f>IF(X29&lt;0,X29+ОФР!Y19,ОФР!Y19)</f>
        <v>3337.3524477056567</v>
      </c>
      <c r="Z29" s="181">
        <f>IF(Y29&lt;0,Y29+ОФР!Z19,ОФР!Z19)</f>
        <v>2309.2546241715013</v>
      </c>
      <c r="AA29" s="181">
        <f>IF(Z29&lt;0,Z29+ОФР!AA19,ОФР!AA19)</f>
        <v>675.85483762135982</v>
      </c>
      <c r="AB29" s="181">
        <f>IF(AA29&lt;0,AA29+ОФР!AB19,ОФР!AB19)</f>
        <v>6076.9726106756225</v>
      </c>
      <c r="AC29" s="181">
        <f>IF(AB29&lt;0,AB29+ОФР!AC19,ОФР!AC19)</f>
        <v>1715.1171662602567</v>
      </c>
      <c r="AD29" s="181">
        <f>IF(AC29&lt;0,AC29+ОФР!AD19,ОФР!AD19)</f>
        <v>542.76114533468558</v>
      </c>
      <c r="AE29" s="181">
        <f>IF(AD29&lt;0,AD29+ОФР!AE19,ОФР!AE19)</f>
        <v>1729.2805998180731</v>
      </c>
      <c r="AF29" s="181">
        <f>IF(AE29&lt;0,AE29+ОФР!AF19,ОФР!AF19)</f>
        <v>754.82117075289602</v>
      </c>
      <c r="AG29" s="181">
        <f>IF(AF29&lt;0,AF29+ОФР!AG19,ОФР!AG19)</f>
        <v>3725.8993186853918</v>
      </c>
      <c r="AH29" s="181">
        <f>IF(AG29&lt;0,AG29+ОФР!AH19,ОФР!AH19)</f>
        <v>4675.6936202932557</v>
      </c>
      <c r="AI29" s="181">
        <f>IF(AH29&lt;0,AH29+ОФР!AI19,ОФР!AI19)</f>
        <v>6084.6113478190109</v>
      </c>
      <c r="AJ29" s="181">
        <f>IF(AI29&lt;0,AI29+ОФР!AJ19,ОФР!AJ19)</f>
        <v>5498.5289282039694</v>
      </c>
      <c r="AK29" s="181">
        <f>IF(AJ29&lt;0,AJ29+ОФР!AK19,ОФР!AK19)</f>
        <v>3548.9869208352334</v>
      </c>
      <c r="AL29" s="181">
        <f>IF(AK29&lt;0,AK29+ОФР!AL19,ОФР!AL19)</f>
        <v>2478.4940588885556</v>
      </c>
      <c r="AM29" s="181">
        <f>IF(AL29&lt;0,AL29+ОФР!AM19,ОФР!AM19)</f>
        <v>780.7332682052521</v>
      </c>
      <c r="AN29" s="181">
        <f>IF(AM29&lt;0,AM29+ОФР!AN19,ОФР!AN19)</f>
        <v>6396.6313999105278</v>
      </c>
      <c r="AO29" s="181">
        <f>IF(AN29&lt;0,AN29+ОФР!AO19,ОФР!AO19)</f>
        <v>1861.3083814473944</v>
      </c>
      <c r="AP29" s="181">
        <f>IF(AO29&lt;0,AO29+ОФР!AP19,ОФР!AP19)</f>
        <v>641.98359061364306</v>
      </c>
      <c r="AQ29" s="181">
        <f>IF(AP29&lt;0,AP29+ОФР!AQ19,ОФР!AQ19)</f>
        <v>1871.2461350052099</v>
      </c>
      <c r="AR29" s="181">
        <f>IF(AQ29&lt;0,AQ29+ОФР!AR19,ОФР!AR19)</f>
        <v>862.21552850626836</v>
      </c>
      <c r="AS29" s="181">
        <f>IF(AR29&lt;0,AR29+ОФР!AS19,ОФР!AS19)</f>
        <v>3950.8793032849089</v>
      </c>
      <c r="AT29" s="181">
        <f>IF(AS29&lt;0,AS29+ОФР!AT19,ОФР!AT19)</f>
        <v>4939.6124078859293</v>
      </c>
      <c r="AU29" s="181">
        <f>IF(AT29&lt;0,AT29+ОФР!AU19,ОФР!AU19)</f>
        <v>6403.6365786415618</v>
      </c>
      <c r="AV29" s="181">
        <f>IF(AU29&lt;0,AU29+ОФР!AV19,ОФР!AV19)</f>
        <v>5795.0506499707608</v>
      </c>
      <c r="AW29" s="181">
        <f>IF(AV29&lt;0,AV29+ОФР!AW19,ОФР!AW19)</f>
        <v>3767.3717128361172</v>
      </c>
      <c r="AX29" s="181">
        <f>IF(AW29&lt;0,AW29+ОФР!AX19,ОФР!AX19)</f>
        <v>2652.8197305404174</v>
      </c>
      <c r="AY29" s="181">
        <f>IF(AX29&lt;0,AX29+ОФР!AY19,ОФР!AY19)</f>
        <v>888.07743595862348</v>
      </c>
      <c r="AZ29" s="181">
        <f>IF(AY29&lt;0,AY29+ОФР!AZ19,ОФР!AZ19)</f>
        <v>6727.0772002609547</v>
      </c>
      <c r="BA29" s="181">
        <f>IF(AZ29&lt;0,AZ29+ОФР!BA19,ОФР!BA19)</f>
        <v>2012.5559779881396</v>
      </c>
      <c r="BB29" s="181">
        <f>IF(BA29&lt;0,BA29+ОФР!BB19,ОФР!BB19)</f>
        <v>743.16967484988106</v>
      </c>
      <c r="BC29" s="181">
        <f>IF(BB29&lt;0,BB29+ОФР!BC19,ОФР!BC19)</f>
        <v>2018.6170415459555</v>
      </c>
      <c r="BD29" s="181">
        <f>IF(BC29&lt;0,BC29+ОФР!BD19,ОФР!BD19)</f>
        <v>969.84269571589903</v>
      </c>
      <c r="BE29" s="181">
        <f>IF(BD29&lt;0,BD29+ОФР!BE19,ОФР!BE19)</f>
        <v>4179.9142252145284</v>
      </c>
      <c r="BF29" s="181">
        <f>IF(BE29&lt;0,BE29+ОФР!BF19,ОФР!BF19)</f>
        <v>5207.9672353284323</v>
      </c>
      <c r="BG29" s="181">
        <f>IF(BF29&lt;0,BF29+ОФР!BG19,ОФР!BG19)</f>
        <v>6728.5892014431356</v>
      </c>
      <c r="BH29" s="181">
        <f>IF(BG29&lt;0,BG29+ОФР!BH19,ОФР!BH19)</f>
        <v>6095.2548025543474</v>
      </c>
      <c r="BI29" s="181">
        <f>IF(BH29&lt;0,BH29+ОФР!BI19,ОФР!BI19)</f>
        <v>3983.703475663162</v>
      </c>
      <c r="BJ29" s="181">
        <f>IF(BI29&lt;0,BI29+ОФР!BJ19,ОФР!BJ19)</f>
        <v>2821.1355346044752</v>
      </c>
      <c r="BK29" s="181">
        <f>IF(BJ29&lt;0,BJ29+ОФР!BK19,ОФР!BK19)</f>
        <v>983.70696316825502</v>
      </c>
      <c r="BL29" s="181">
        <f>IF(BK29&lt;0,BK29+ОФР!BL19,ОФР!BL19)</f>
        <v>7053.3226681715241</v>
      </c>
      <c r="BM29" s="181">
        <f>IF(BL29&lt;0,BL29+ОФР!BM19,ОФР!BM19)</f>
        <v>2146.5620671366387</v>
      </c>
      <c r="BN29" s="181">
        <f>IF(BM29&lt;0,BM29+ОФР!BN19,ОФР!BN19)</f>
        <v>824.73415160169361</v>
      </c>
      <c r="BO29" s="181">
        <f>IF(BN29&lt;0,BN29+ОФР!BO19,ОФР!BO19)</f>
        <v>2148.7162806944548</v>
      </c>
      <c r="BP29" s="181">
        <f>IF(BO29&lt;0,BO29+ОФР!BP19,ОФР!BP19)</f>
        <v>1057.0991639600409</v>
      </c>
      <c r="BQ29" s="181">
        <f>IF(BP29&lt;0,BP29+ОФР!BQ19,ОФР!BQ19)</f>
        <v>4393.7269647674566</v>
      </c>
      <c r="BR29" s="181">
        <f>IF(BQ29&lt;0,BQ29+ОФР!BR19,ОФР!BR19)</f>
        <v>5461.3737662147641</v>
      </c>
      <c r="BS29" s="181">
        <f>IF(BR29&lt;0,BR29+ОФР!BS19,ОФР!BS19)</f>
        <v>7064.2684655473413</v>
      </c>
      <c r="BT29" s="181">
        <f>IF(BS29&lt;0,BS29+ОФР!BT19,ОФР!BT19)</f>
        <v>6404.0334727429572</v>
      </c>
      <c r="BU29" s="181">
        <f>IF(BT29&lt;0,BT29+ОФР!BU19,ОФР!BU19)</f>
        <v>4207.9381196160793</v>
      </c>
      <c r="BV29" s="181">
        <f>IF(BU29&lt;0,BU29+ОФР!BV19,ОФР!BV19)</f>
        <v>2998.7854877549989</v>
      </c>
      <c r="BW29" s="181">
        <f>IF(BV29&lt;0,BV29+ОФР!BW19,ОФР!BW19)</f>
        <v>1087.7778003012847</v>
      </c>
      <c r="BX29" s="181">
        <f>IF(BW29&lt;0,BW29+ОФР!BX19,ОФР!BX19)</f>
        <v>7400.0961603446403</v>
      </c>
    </row>
    <row r="30" spans="1:76" s="16" customFormat="1" x14ac:dyDescent="0.25">
      <c r="A30" s="461" t="s">
        <v>380</v>
      </c>
      <c r="B30" s="462">
        <v>0</v>
      </c>
      <c r="C30" s="462">
        <f>IF(C29&lt;0,0,C29)</f>
        <v>0</v>
      </c>
      <c r="D30" s="462">
        <f t="shared" ref="D30:U30" si="15">IF(D29&lt;0,0,D29)</f>
        <v>0</v>
      </c>
      <c r="E30" s="462">
        <f t="shared" si="15"/>
        <v>0</v>
      </c>
      <c r="F30" s="462">
        <f t="shared" si="15"/>
        <v>0</v>
      </c>
      <c r="G30" s="462">
        <f t="shared" si="15"/>
        <v>0</v>
      </c>
      <c r="H30" s="462">
        <f t="shared" si="15"/>
        <v>0</v>
      </c>
      <c r="I30" s="462">
        <f t="shared" si="15"/>
        <v>0</v>
      </c>
      <c r="J30" s="462">
        <f t="shared" si="15"/>
        <v>0</v>
      </c>
      <c r="K30" s="462">
        <f t="shared" si="15"/>
        <v>724.03909613854535</v>
      </c>
      <c r="L30" s="462">
        <f t="shared" si="15"/>
        <v>1874.4695994439812</v>
      </c>
      <c r="M30" s="462">
        <f t="shared" si="15"/>
        <v>1127.3437492573216</v>
      </c>
      <c r="N30" s="462">
        <f t="shared" si="15"/>
        <v>734.27279447536478</v>
      </c>
      <c r="O30" s="462">
        <f t="shared" si="15"/>
        <v>0</v>
      </c>
      <c r="P30" s="462">
        <f t="shared" si="15"/>
        <v>3737.0585115815024</v>
      </c>
      <c r="Q30" s="462">
        <f t="shared" si="15"/>
        <v>0</v>
      </c>
      <c r="R30" s="462">
        <f t="shared" si="15"/>
        <v>0</v>
      </c>
      <c r="S30" s="462">
        <f t="shared" si="15"/>
        <v>0</v>
      </c>
      <c r="T30" s="462">
        <f t="shared" si="15"/>
        <v>7.3590966724148075</v>
      </c>
      <c r="U30" s="462">
        <f t="shared" si="15"/>
        <v>3507.9871595955965</v>
      </c>
      <c r="V30" s="462">
        <f t="shared" ref="V30" si="16">IF(V29&lt;0,0,V29)</f>
        <v>4420.2971514023411</v>
      </c>
      <c r="W30" s="462">
        <f t="shared" ref="W30" si="17">IF(W29&lt;0,0,W29)</f>
        <v>5776.2577408224533</v>
      </c>
      <c r="X30" s="462">
        <f t="shared" ref="X30" si="18">IF(X29&lt;0,0,X29)</f>
        <v>5211.7697056841007</v>
      </c>
      <c r="Y30" s="462">
        <f t="shared" ref="Y30" si="19">IF(Y29&lt;0,0,Y29)</f>
        <v>3337.3524477056567</v>
      </c>
      <c r="Z30" s="462">
        <f t="shared" ref="Z30" si="20">IF(Z29&lt;0,0,Z29)</f>
        <v>2309.2546241715013</v>
      </c>
      <c r="AA30" s="462">
        <f t="shared" ref="AA30" si="21">IF(AA29&lt;0,0,AA29)</f>
        <v>675.85483762135982</v>
      </c>
      <c r="AB30" s="462">
        <f t="shared" ref="AB30" si="22">IF(AB29&lt;0,0,AB29)</f>
        <v>6076.9726106756225</v>
      </c>
      <c r="AC30" s="462">
        <f t="shared" ref="AC30" si="23">IF(AC29&lt;0,0,AC29)</f>
        <v>1715.1171662602567</v>
      </c>
      <c r="AD30" s="462">
        <f t="shared" ref="AD30" si="24">IF(AD29&lt;0,0,AD29)</f>
        <v>542.76114533468558</v>
      </c>
      <c r="AE30" s="462">
        <f t="shared" ref="AE30" si="25">IF(AE29&lt;0,0,AE29)</f>
        <v>1729.2805998180731</v>
      </c>
      <c r="AF30" s="462">
        <f t="shared" ref="AF30" si="26">IF(AF29&lt;0,0,AF29)</f>
        <v>754.82117075289602</v>
      </c>
      <c r="AG30" s="462">
        <f t="shared" ref="AG30" si="27">IF(AG29&lt;0,0,AG29)</f>
        <v>3725.8993186853918</v>
      </c>
      <c r="AH30" s="462">
        <f t="shared" ref="AH30" si="28">IF(AH29&lt;0,0,AH29)</f>
        <v>4675.6936202932557</v>
      </c>
      <c r="AI30" s="462">
        <f t="shared" ref="AI30" si="29">IF(AI29&lt;0,0,AI29)</f>
        <v>6084.6113478190109</v>
      </c>
      <c r="AJ30" s="462">
        <f t="shared" ref="AJ30" si="30">IF(AJ29&lt;0,0,AJ29)</f>
        <v>5498.5289282039694</v>
      </c>
      <c r="AK30" s="462">
        <f t="shared" ref="AK30" si="31">IF(AK29&lt;0,0,AK29)</f>
        <v>3548.9869208352334</v>
      </c>
      <c r="AL30" s="462">
        <f t="shared" ref="AL30:AM30" si="32">IF(AL29&lt;0,0,AL29)</f>
        <v>2478.4940588885556</v>
      </c>
      <c r="AM30" s="462">
        <f t="shared" si="32"/>
        <v>780.7332682052521</v>
      </c>
      <c r="AN30" s="462">
        <f t="shared" ref="AN30" si="33">IF(AN29&lt;0,0,AN29)</f>
        <v>6396.6313999105278</v>
      </c>
      <c r="AO30" s="462">
        <f t="shared" ref="AO30" si="34">IF(AO29&lt;0,0,AO29)</f>
        <v>1861.3083814473944</v>
      </c>
      <c r="AP30" s="462">
        <f t="shared" ref="AP30" si="35">IF(AP29&lt;0,0,AP29)</f>
        <v>641.98359061364306</v>
      </c>
      <c r="AQ30" s="462">
        <f t="shared" ref="AQ30" si="36">IF(AQ29&lt;0,0,AQ29)</f>
        <v>1871.2461350052099</v>
      </c>
      <c r="AR30" s="462">
        <f t="shared" ref="AR30" si="37">IF(AR29&lt;0,0,AR29)</f>
        <v>862.21552850626836</v>
      </c>
      <c r="AS30" s="462">
        <f t="shared" ref="AS30" si="38">IF(AS29&lt;0,0,AS29)</f>
        <v>3950.8793032849089</v>
      </c>
      <c r="AT30" s="462">
        <f t="shared" ref="AT30" si="39">IF(AT29&lt;0,0,AT29)</f>
        <v>4939.6124078859293</v>
      </c>
      <c r="AU30" s="462">
        <f t="shared" ref="AU30" si="40">IF(AU29&lt;0,0,AU29)</f>
        <v>6403.6365786415618</v>
      </c>
      <c r="AV30" s="462">
        <f t="shared" ref="AV30" si="41">IF(AV29&lt;0,0,AV29)</f>
        <v>5795.0506499707608</v>
      </c>
      <c r="AW30" s="462">
        <f t="shared" ref="AW30" si="42">IF(AW29&lt;0,0,AW29)</f>
        <v>3767.3717128361172</v>
      </c>
      <c r="AX30" s="462">
        <f t="shared" ref="AX30" si="43">IF(AX29&lt;0,0,AX29)</f>
        <v>2652.8197305404174</v>
      </c>
      <c r="AY30" s="462">
        <f t="shared" ref="AY30" si="44">IF(AY29&lt;0,0,AY29)</f>
        <v>888.07743595862348</v>
      </c>
      <c r="AZ30" s="462">
        <f t="shared" ref="AZ30" si="45">IF(AZ29&lt;0,0,AZ29)</f>
        <v>6727.0772002609547</v>
      </c>
      <c r="BA30" s="462">
        <f t="shared" ref="BA30" si="46">IF(BA29&lt;0,0,BA29)</f>
        <v>2012.5559779881396</v>
      </c>
      <c r="BB30" s="462">
        <f t="shared" ref="BB30" si="47">IF(BB29&lt;0,0,BB29)</f>
        <v>743.16967484988106</v>
      </c>
      <c r="BC30" s="462">
        <f t="shared" ref="BC30" si="48">IF(BC29&lt;0,0,BC29)</f>
        <v>2018.6170415459555</v>
      </c>
      <c r="BD30" s="462">
        <f t="shared" ref="BD30:BE30" si="49">IF(BD29&lt;0,0,BD29)</f>
        <v>969.84269571589903</v>
      </c>
      <c r="BE30" s="462">
        <f t="shared" si="49"/>
        <v>4179.9142252145284</v>
      </c>
      <c r="BF30" s="462">
        <f t="shared" ref="BF30" si="50">IF(BF29&lt;0,0,BF29)</f>
        <v>5207.9672353284323</v>
      </c>
      <c r="BG30" s="462">
        <f t="shared" ref="BG30" si="51">IF(BG29&lt;0,0,BG29)</f>
        <v>6728.5892014431356</v>
      </c>
      <c r="BH30" s="462">
        <f t="shared" ref="BH30" si="52">IF(BH29&lt;0,0,BH29)</f>
        <v>6095.2548025543474</v>
      </c>
      <c r="BI30" s="462">
        <f t="shared" ref="BI30" si="53">IF(BI29&lt;0,0,BI29)</f>
        <v>3983.703475663162</v>
      </c>
      <c r="BJ30" s="462">
        <f t="shared" ref="BJ30" si="54">IF(BJ29&lt;0,0,BJ29)</f>
        <v>2821.1355346044752</v>
      </c>
      <c r="BK30" s="462">
        <f t="shared" ref="BK30" si="55">IF(BK29&lt;0,0,BK29)</f>
        <v>983.70696316825502</v>
      </c>
      <c r="BL30" s="462">
        <f t="shared" ref="BL30" si="56">IF(BL29&lt;0,0,BL29)</f>
        <v>7053.3226681715241</v>
      </c>
      <c r="BM30" s="462">
        <f t="shared" ref="BM30" si="57">IF(BM29&lt;0,0,BM29)</f>
        <v>2146.5620671366387</v>
      </c>
      <c r="BN30" s="462">
        <f t="shared" ref="BN30" si="58">IF(BN29&lt;0,0,BN29)</f>
        <v>824.73415160169361</v>
      </c>
      <c r="BO30" s="462">
        <f t="shared" ref="BO30" si="59">IF(BO29&lt;0,0,BO29)</f>
        <v>2148.7162806944548</v>
      </c>
      <c r="BP30" s="462">
        <f t="shared" ref="BP30" si="60">IF(BP29&lt;0,0,BP29)</f>
        <v>1057.0991639600409</v>
      </c>
      <c r="BQ30" s="462">
        <f t="shared" ref="BQ30" si="61">IF(BQ29&lt;0,0,BQ29)</f>
        <v>4393.7269647674566</v>
      </c>
      <c r="BR30" s="462">
        <f t="shared" ref="BR30" si="62">IF(BR29&lt;0,0,BR29)</f>
        <v>5461.3737662147641</v>
      </c>
      <c r="BS30" s="462">
        <f t="shared" ref="BS30" si="63">IF(BS29&lt;0,0,BS29)</f>
        <v>7064.2684655473413</v>
      </c>
      <c r="BT30" s="462">
        <f t="shared" ref="BT30" si="64">IF(BT29&lt;0,0,BT29)</f>
        <v>6404.0334727429572</v>
      </c>
      <c r="BU30" s="462">
        <f t="shared" ref="BU30" si="65">IF(BU29&lt;0,0,BU29)</f>
        <v>4207.9381196160793</v>
      </c>
      <c r="BV30" s="462">
        <f t="shared" ref="BV30:BW30" si="66">IF(BV29&lt;0,0,BV29)</f>
        <v>2998.7854877549989</v>
      </c>
      <c r="BW30" s="462">
        <f t="shared" si="66"/>
        <v>1087.7778003012847</v>
      </c>
      <c r="BX30" s="462">
        <f t="shared" ref="BX30" si="67">IF(BX29&lt;0,0,BX29)</f>
        <v>7400.0961603446403</v>
      </c>
    </row>
    <row r="31" spans="1:76" s="13" customFormat="1" x14ac:dyDescent="0.25">
      <c r="A31" s="443" t="str">
        <f>'Книга допущений'!A112</f>
        <v>Инициатор проекта</v>
      </c>
      <c r="B31" s="177">
        <f>B$30*'Книга допущений'!$B112</f>
        <v>0</v>
      </c>
      <c r="C31" s="177">
        <f>C$30*'Книга допущений'!$B112</f>
        <v>0</v>
      </c>
      <c r="D31" s="177">
        <f>D$30*'Книга допущений'!$B112</f>
        <v>0</v>
      </c>
      <c r="E31" s="177">
        <f>E$30*'Книга допущений'!$B112</f>
        <v>0</v>
      </c>
      <c r="F31" s="177">
        <f>F$30*'Книга допущений'!$C112</f>
        <v>0</v>
      </c>
      <c r="G31" s="177">
        <f>G$30*'Книга допущений'!$C112</f>
        <v>0</v>
      </c>
      <c r="H31" s="177">
        <f>H$30*'Книга допущений'!$C112</f>
        <v>0</v>
      </c>
      <c r="I31" s="177">
        <f>I$30*'Книга допущений'!$C112</f>
        <v>0</v>
      </c>
      <c r="J31" s="177">
        <f>J$30*'Книга допущений'!$C112</f>
        <v>0</v>
      </c>
      <c r="K31" s="177">
        <f>K$30*'Книга допущений'!$C112</f>
        <v>0</v>
      </c>
      <c r="L31" s="177">
        <f>L$30*'Книга допущений'!$C112</f>
        <v>0</v>
      </c>
      <c r="M31" s="177">
        <f>M$30*'Книга допущений'!$C112</f>
        <v>0</v>
      </c>
      <c r="N31" s="177">
        <f>N$30*'Книга допущений'!$C112</f>
        <v>0</v>
      </c>
      <c r="O31" s="177">
        <f>O$30*'Книга допущений'!$C112</f>
        <v>0</v>
      </c>
      <c r="P31" s="177">
        <f>P$30*'Книга допущений'!$C112</f>
        <v>0</v>
      </c>
      <c r="Q31" s="177">
        <f>Q$30*'Книга допущений'!$C112</f>
        <v>0</v>
      </c>
      <c r="R31" s="177">
        <f>R$30*'Книга допущений'!$D112</f>
        <v>0</v>
      </c>
      <c r="S31" s="177">
        <f>S$30*'Книга допущений'!$D112</f>
        <v>0</v>
      </c>
      <c r="T31" s="177">
        <f>T$30*'Книга допущений'!$D112</f>
        <v>0</v>
      </c>
      <c r="U31" s="177">
        <f>U$30*'Книга допущений'!$D112</f>
        <v>0</v>
      </c>
      <c r="V31" s="177">
        <f>V$30*'Книга допущений'!$D112</f>
        <v>0</v>
      </c>
      <c r="W31" s="177">
        <f>W$30*'Книга допущений'!$D112</f>
        <v>0</v>
      </c>
      <c r="X31" s="177">
        <f>X$30*'Книга допущений'!$D112</f>
        <v>0</v>
      </c>
      <c r="Y31" s="177">
        <f>Y$30*'Книга допущений'!$D112</f>
        <v>0</v>
      </c>
      <c r="Z31" s="177">
        <f>Z$30*'Книга допущений'!$D112</f>
        <v>0</v>
      </c>
      <c r="AA31" s="177">
        <f>AA$30*'Книга допущений'!$D112</f>
        <v>0</v>
      </c>
      <c r="AB31" s="177">
        <f>AB$30*'Книга допущений'!$D112</f>
        <v>0</v>
      </c>
      <c r="AC31" s="177">
        <f>AC$30*'Книга допущений'!$D112</f>
        <v>0</v>
      </c>
      <c r="AD31" s="177">
        <f>AD$30*'Книга допущений'!$E112</f>
        <v>0</v>
      </c>
      <c r="AE31" s="177">
        <f>AE$30*'Книга допущений'!$E112</f>
        <v>0</v>
      </c>
      <c r="AF31" s="177">
        <f>AF$30*'Книга допущений'!$E112</f>
        <v>0</v>
      </c>
      <c r="AG31" s="177">
        <f>AG$30*'Книга допущений'!$E112</f>
        <v>0</v>
      </c>
      <c r="AH31" s="177">
        <f>AH$30*'Книга допущений'!$E112</f>
        <v>0</v>
      </c>
      <c r="AI31" s="177">
        <f>AI$30*'Книга допущений'!$E112</f>
        <v>0</v>
      </c>
      <c r="AJ31" s="177">
        <f>AJ$30*'Книга допущений'!$E112</f>
        <v>0</v>
      </c>
      <c r="AK31" s="177">
        <f>AK$30*'Книга допущений'!$E112</f>
        <v>0</v>
      </c>
      <c r="AL31" s="177">
        <f>AL$30*'Книга допущений'!$E112</f>
        <v>0</v>
      </c>
      <c r="AM31" s="177">
        <f>AM$30*'Книга допущений'!$E112</f>
        <v>0</v>
      </c>
      <c r="AN31" s="177">
        <f>AN$30*'Книга допущений'!$E112</f>
        <v>0</v>
      </c>
      <c r="AO31" s="177">
        <f>AO$30*'Книга допущений'!$E112</f>
        <v>0</v>
      </c>
      <c r="AP31" s="177">
        <f>AP$30*'Книга допущений'!$F112</f>
        <v>0</v>
      </c>
      <c r="AQ31" s="177">
        <f>AQ$30*'Книга допущений'!$F112</f>
        <v>0</v>
      </c>
      <c r="AR31" s="177">
        <f>AR$30*'Книга допущений'!$F112</f>
        <v>0</v>
      </c>
      <c r="AS31" s="177">
        <f>AS$30*'Книга допущений'!$F112</f>
        <v>0</v>
      </c>
      <c r="AT31" s="177">
        <f>AT$30*'Книга допущений'!$F112</f>
        <v>0</v>
      </c>
      <c r="AU31" s="177">
        <f>AU$30*'Книга допущений'!$F112</f>
        <v>0</v>
      </c>
      <c r="AV31" s="177">
        <f>AV$30*'Книга допущений'!$F112</f>
        <v>0</v>
      </c>
      <c r="AW31" s="177">
        <f>AW$30*'Книга допущений'!$F112</f>
        <v>0</v>
      </c>
      <c r="AX31" s="177">
        <f>AX$30*'Книга допущений'!$F112</f>
        <v>0</v>
      </c>
      <c r="AY31" s="177">
        <f>AY$30*'Книга допущений'!$F112</f>
        <v>0</v>
      </c>
      <c r="AZ31" s="177">
        <f>AZ$30*'Книга допущений'!$F112</f>
        <v>0</v>
      </c>
      <c r="BA31" s="177">
        <f>BA$30*'Книга допущений'!$F112</f>
        <v>0</v>
      </c>
      <c r="BB31" s="177">
        <f>BB$30*'Книга допущений'!$G112</f>
        <v>0</v>
      </c>
      <c r="BC31" s="177">
        <f>BC$30*'Книга допущений'!$G112</f>
        <v>0</v>
      </c>
      <c r="BD31" s="177">
        <f>BD$30*'Книга допущений'!$G112</f>
        <v>0</v>
      </c>
      <c r="BE31" s="177">
        <f>BE$30*'Книга допущений'!$G112</f>
        <v>0</v>
      </c>
      <c r="BF31" s="177">
        <f>BF$30*'Книга допущений'!$G112</f>
        <v>0</v>
      </c>
      <c r="BG31" s="177">
        <f>BG$30*'Книга допущений'!$G112</f>
        <v>0</v>
      </c>
      <c r="BH31" s="177">
        <f>BH$30*'Книга допущений'!$G112</f>
        <v>0</v>
      </c>
      <c r="BI31" s="177">
        <f>BI$30*'Книга допущений'!$G112</f>
        <v>0</v>
      </c>
      <c r="BJ31" s="177">
        <f>BJ$30*'Книга допущений'!$G112</f>
        <v>0</v>
      </c>
      <c r="BK31" s="177">
        <f>BK$30*'Книга допущений'!$G112</f>
        <v>0</v>
      </c>
      <c r="BL31" s="177">
        <f>BL$30*'Книга допущений'!$G112</f>
        <v>0</v>
      </c>
      <c r="BM31" s="177">
        <f>BM$30*'Книга допущений'!$G112</f>
        <v>0</v>
      </c>
      <c r="BN31" s="177">
        <f>BN$30*'Книга допущений'!$H112</f>
        <v>0</v>
      </c>
      <c r="BO31" s="177">
        <f>BO$30*'Книга допущений'!$H112</f>
        <v>0</v>
      </c>
      <c r="BP31" s="177">
        <f>BP$30*'Книга допущений'!$H112</f>
        <v>0</v>
      </c>
      <c r="BQ31" s="177">
        <f>BQ$30*'Книга допущений'!$H112</f>
        <v>0</v>
      </c>
      <c r="BR31" s="177">
        <f>BR$30*'Книга допущений'!$H112</f>
        <v>0</v>
      </c>
      <c r="BS31" s="177">
        <f>BS$30*'Книга допущений'!$H112</f>
        <v>0</v>
      </c>
      <c r="BT31" s="177">
        <f>BT$30*'Книга допущений'!$H112</f>
        <v>0</v>
      </c>
      <c r="BU31" s="177">
        <f>BU$30*'Книга допущений'!$H112</f>
        <v>0</v>
      </c>
      <c r="BV31" s="177">
        <f>BV$30*'Книга допущений'!$H112</f>
        <v>0</v>
      </c>
      <c r="BW31" s="177">
        <f>BW$30*'Книга допущений'!$H112</f>
        <v>0</v>
      </c>
      <c r="BX31" s="177">
        <f>BX$30*'Книга допущений'!$H112</f>
        <v>0</v>
      </c>
    </row>
    <row r="32" spans="1:76" s="13" customFormat="1" x14ac:dyDescent="0.25">
      <c r="A32" s="443" t="str">
        <f>'Книга допущений'!A113</f>
        <v>Инвестор</v>
      </c>
      <c r="B32" s="177">
        <f>B$30*'Книга допущений'!$B113</f>
        <v>0</v>
      </c>
      <c r="C32" s="177">
        <f>C$30*'Книга допущений'!$B113</f>
        <v>0</v>
      </c>
      <c r="D32" s="177">
        <f>D$30*'Книга допущений'!$B113</f>
        <v>0</v>
      </c>
      <c r="E32" s="177">
        <f>E$30*'Книга допущений'!$B113</f>
        <v>0</v>
      </c>
      <c r="F32" s="177">
        <f>F$30*'Книга допущений'!$C113</f>
        <v>0</v>
      </c>
      <c r="G32" s="177">
        <f>G$30*'Книга допущений'!$C113</f>
        <v>0</v>
      </c>
      <c r="H32" s="177">
        <f>H$30*'Книга допущений'!$C113</f>
        <v>0</v>
      </c>
      <c r="I32" s="177">
        <f>I$30*'Книга допущений'!$C113</f>
        <v>0</v>
      </c>
      <c r="J32" s="177">
        <f>J$30*'Книга допущений'!$C113</f>
        <v>0</v>
      </c>
      <c r="K32" s="177">
        <f>K$30*'Книга допущений'!$C113</f>
        <v>724.03909613854535</v>
      </c>
      <c r="L32" s="177">
        <f>L$30*'Книга допущений'!$C113</f>
        <v>1874.4695994439812</v>
      </c>
      <c r="M32" s="177">
        <f>M$30*'Книга допущений'!$C113</f>
        <v>1127.3437492573216</v>
      </c>
      <c r="N32" s="177">
        <f>N$30*'Книга допущений'!$C113</f>
        <v>734.27279447536478</v>
      </c>
      <c r="O32" s="177">
        <f>O$30*'Книга допущений'!$C113</f>
        <v>0</v>
      </c>
      <c r="P32" s="177">
        <f>P$30*'Книга допущений'!$C113</f>
        <v>3737.0585115815024</v>
      </c>
      <c r="Q32" s="177">
        <f>Q$30*'Книга допущений'!$C113</f>
        <v>0</v>
      </c>
      <c r="R32" s="177">
        <f>R$30*'Книга допущений'!$D113</f>
        <v>0</v>
      </c>
      <c r="S32" s="177">
        <f>S$30*'Книга допущений'!$D113</f>
        <v>0</v>
      </c>
      <c r="T32" s="177">
        <f>T$30*'Книга допущений'!$D113</f>
        <v>7.3590966724148075</v>
      </c>
      <c r="U32" s="177">
        <f>U$30*'Книга допущений'!$D113</f>
        <v>3507.9871595955965</v>
      </c>
      <c r="V32" s="177">
        <f>V$30*'Книга допущений'!$D113</f>
        <v>4420.2971514023411</v>
      </c>
      <c r="W32" s="177">
        <f>W$30*'Книга допущений'!$D113</f>
        <v>5776.2577408224533</v>
      </c>
      <c r="X32" s="177">
        <f>X$30*'Книга допущений'!$D113</f>
        <v>5211.7697056841007</v>
      </c>
      <c r="Y32" s="177">
        <f>Y$30*'Книга допущений'!$D113</f>
        <v>3337.3524477056567</v>
      </c>
      <c r="Z32" s="177">
        <f>Z$30*'Книга допущений'!$D113</f>
        <v>2309.2546241715013</v>
      </c>
      <c r="AA32" s="177">
        <f>AA$30*'Книга допущений'!$D113</f>
        <v>675.85483762135982</v>
      </c>
      <c r="AB32" s="177">
        <f>AB$30*'Книга допущений'!$D113</f>
        <v>6076.9726106756225</v>
      </c>
      <c r="AC32" s="177">
        <f>AC$30*'Книга допущений'!$D113</f>
        <v>1715.1171662602567</v>
      </c>
      <c r="AD32" s="177">
        <f>AD$30*'Книга допущений'!$E113</f>
        <v>542.76114533468558</v>
      </c>
      <c r="AE32" s="177">
        <f>AE$30*'Книга допущений'!$E113</f>
        <v>1729.2805998180731</v>
      </c>
      <c r="AF32" s="177">
        <f>AF$30*'Книга допущений'!$E113</f>
        <v>754.82117075289602</v>
      </c>
      <c r="AG32" s="177">
        <f>AG$30*'Книга допущений'!$E113</f>
        <v>3725.8993186853918</v>
      </c>
      <c r="AH32" s="177">
        <f>AH$30*'Книга допущений'!$E113</f>
        <v>4675.6936202932557</v>
      </c>
      <c r="AI32" s="177">
        <f>AI$30*'Книга допущений'!$E113</f>
        <v>6084.6113478190109</v>
      </c>
      <c r="AJ32" s="177">
        <f>AJ$30*'Книга допущений'!$E113</f>
        <v>5498.5289282039694</v>
      </c>
      <c r="AK32" s="177">
        <f>AK$30*'Книга допущений'!$E113</f>
        <v>3548.9869208352334</v>
      </c>
      <c r="AL32" s="177">
        <f>AL$30*'Книга допущений'!$E113</f>
        <v>2478.4940588885556</v>
      </c>
      <c r="AM32" s="177">
        <f>AM$30*'Книга допущений'!$E113</f>
        <v>780.7332682052521</v>
      </c>
      <c r="AN32" s="177">
        <f>AN$30*'Книга допущений'!$E113</f>
        <v>6396.6313999105278</v>
      </c>
      <c r="AO32" s="177">
        <f>AO$30*'Книга допущений'!$E113</f>
        <v>1861.3083814473944</v>
      </c>
      <c r="AP32" s="177">
        <f>AP$30*'Книга допущений'!$F113</f>
        <v>641.98359061364306</v>
      </c>
      <c r="AQ32" s="177">
        <f>AQ$30*'Книга допущений'!$F113</f>
        <v>1871.2461350052099</v>
      </c>
      <c r="AR32" s="177">
        <f>AR$30*'Книга допущений'!$F113</f>
        <v>862.21552850626836</v>
      </c>
      <c r="AS32" s="177">
        <f>AS$30*'Книга допущений'!$F113</f>
        <v>3950.8793032849089</v>
      </c>
      <c r="AT32" s="177">
        <f>AT$30*'Книга допущений'!$F113</f>
        <v>4939.6124078859293</v>
      </c>
      <c r="AU32" s="177">
        <f>AU$30*'Книга допущений'!$F113</f>
        <v>6403.6365786415618</v>
      </c>
      <c r="AV32" s="177">
        <f>AV$30*'Книга допущений'!$F113</f>
        <v>5795.0506499707608</v>
      </c>
      <c r="AW32" s="177">
        <f>AW$30*'Книга допущений'!$F113</f>
        <v>3767.3717128361172</v>
      </c>
      <c r="AX32" s="177">
        <f>AX$30*'Книга допущений'!$F113</f>
        <v>2652.8197305404174</v>
      </c>
      <c r="AY32" s="177">
        <f>AY$30*'Книга допущений'!$F113</f>
        <v>888.07743595862348</v>
      </c>
      <c r="AZ32" s="177">
        <f>AZ$30*'Книга допущений'!$F113</f>
        <v>6727.0772002609547</v>
      </c>
      <c r="BA32" s="177">
        <f>BA$30*'Книга допущений'!$F113</f>
        <v>2012.5559779881396</v>
      </c>
      <c r="BB32" s="177">
        <f>BB$30*'Книга допущений'!$G113</f>
        <v>743.16967484988106</v>
      </c>
      <c r="BC32" s="177">
        <f>BC$30*'Книга допущений'!$G113</f>
        <v>2018.6170415459555</v>
      </c>
      <c r="BD32" s="177">
        <f>BD$30*'Книга допущений'!$G113</f>
        <v>969.84269571589903</v>
      </c>
      <c r="BE32" s="177">
        <f>BE$30*'Книга допущений'!$G113</f>
        <v>4179.9142252145284</v>
      </c>
      <c r="BF32" s="177">
        <f>BF$30*'Книга допущений'!$G113</f>
        <v>5207.9672353284323</v>
      </c>
      <c r="BG32" s="177">
        <f>BG$30*'Книга допущений'!$G113</f>
        <v>6728.5892014431356</v>
      </c>
      <c r="BH32" s="177">
        <f>BH$30*'Книга допущений'!$G113</f>
        <v>6095.2548025543474</v>
      </c>
      <c r="BI32" s="177">
        <f>BI$30*'Книга допущений'!$G113</f>
        <v>3983.703475663162</v>
      </c>
      <c r="BJ32" s="177">
        <f>BJ$30*'Книга допущений'!$G113</f>
        <v>2821.1355346044752</v>
      </c>
      <c r="BK32" s="177">
        <f>BK$30*'Книга допущений'!$G113</f>
        <v>983.70696316825502</v>
      </c>
      <c r="BL32" s="177">
        <f>BL$30*'Книга допущений'!$G113</f>
        <v>7053.3226681715241</v>
      </c>
      <c r="BM32" s="177">
        <f>BM$30*'Книга допущений'!$G113</f>
        <v>2146.5620671366387</v>
      </c>
      <c r="BN32" s="177">
        <f>BN$30*'Книга допущений'!$H113</f>
        <v>824.73415160169361</v>
      </c>
      <c r="BO32" s="177">
        <f>BO$30*'Книга допущений'!$H113</f>
        <v>2148.7162806944548</v>
      </c>
      <c r="BP32" s="177">
        <f>BP$30*'Книга допущений'!$H113</f>
        <v>1057.0991639600409</v>
      </c>
      <c r="BQ32" s="177">
        <f>BQ$30*'Книга допущений'!$H113</f>
        <v>4393.7269647674566</v>
      </c>
      <c r="BR32" s="177">
        <f>BR$30*'Книга допущений'!$H113</f>
        <v>5461.3737662147641</v>
      </c>
      <c r="BS32" s="177">
        <f>BS$30*'Книга допущений'!$H113</f>
        <v>7064.2684655473413</v>
      </c>
      <c r="BT32" s="177">
        <f>BT$30*'Книга допущений'!$H113</f>
        <v>6404.0334727429572</v>
      </c>
      <c r="BU32" s="177">
        <f>BU$30*'Книга допущений'!$H113</f>
        <v>4207.9381196160793</v>
      </c>
      <c r="BV32" s="177">
        <f>BV$30*'Книга допущений'!$H113</f>
        <v>2998.7854877549989</v>
      </c>
      <c r="BW32" s="177">
        <f>BW$30*'Книга допущений'!$H113</f>
        <v>1087.7778003012847</v>
      </c>
      <c r="BX32" s="177">
        <f>BX$30*'Книга допущений'!$H113</f>
        <v>7400.0961603446403</v>
      </c>
    </row>
    <row r="33" spans="1:76" x14ac:dyDescent="0.25">
      <c r="A33" s="182" t="s">
        <v>122</v>
      </c>
      <c r="B33" s="181">
        <f t="shared" ref="B33:AG33" si="68">B21+B22-B23-B26-B30</f>
        <v>133259.34098079999</v>
      </c>
      <c r="C33" s="181">
        <f t="shared" si="68"/>
        <v>0</v>
      </c>
      <c r="D33" s="181">
        <f t="shared" si="68"/>
        <v>0</v>
      </c>
      <c r="E33" s="181">
        <f t="shared" si="68"/>
        <v>0</v>
      </c>
      <c r="F33" s="181">
        <f t="shared" si="68"/>
        <v>0</v>
      </c>
      <c r="G33" s="181">
        <f t="shared" si="68"/>
        <v>0</v>
      </c>
      <c r="H33" s="181">
        <f t="shared" si="68"/>
        <v>0</v>
      </c>
      <c r="I33" s="181">
        <f t="shared" si="68"/>
        <v>0</v>
      </c>
      <c r="J33" s="181">
        <f t="shared" si="68"/>
        <v>0</v>
      </c>
      <c r="K33" s="181">
        <f t="shared" si="68"/>
        <v>-724.03909613854535</v>
      </c>
      <c r="L33" s="181">
        <f t="shared" si="68"/>
        <v>-1874.4695994439812</v>
      </c>
      <c r="M33" s="181">
        <f t="shared" si="68"/>
        <v>-1127.3437492573216</v>
      </c>
      <c r="N33" s="181">
        <f t="shared" si="68"/>
        <v>-734.27279447536478</v>
      </c>
      <c r="O33" s="181">
        <f t="shared" si="68"/>
        <v>0</v>
      </c>
      <c r="P33" s="181">
        <f t="shared" si="68"/>
        <v>-3737.0585115815024</v>
      </c>
      <c r="Q33" s="181">
        <f t="shared" si="68"/>
        <v>-3109.7215999999999</v>
      </c>
      <c r="R33" s="181">
        <f t="shared" si="68"/>
        <v>-572.19758999999999</v>
      </c>
      <c r="S33" s="181">
        <f t="shared" si="68"/>
        <v>-559.76504</v>
      </c>
      <c r="T33" s="181">
        <f t="shared" si="68"/>
        <v>-574.30744667241481</v>
      </c>
      <c r="U33" s="181">
        <f t="shared" si="68"/>
        <v>-4069.2109095955966</v>
      </c>
      <c r="V33" s="181">
        <f t="shared" si="68"/>
        <v>-4981.9962614023407</v>
      </c>
      <c r="W33" s="181">
        <f t="shared" si="68"/>
        <v>-6332.4015708224533</v>
      </c>
      <c r="X33" s="181">
        <f t="shared" si="68"/>
        <v>-5768.2195656841004</v>
      </c>
      <c r="Y33" s="181">
        <f t="shared" si="68"/>
        <v>-3891.1776877056568</v>
      </c>
      <c r="Z33" s="181">
        <f t="shared" si="68"/>
        <v>-2857.7785841715013</v>
      </c>
      <c r="AA33" s="181">
        <f t="shared" si="68"/>
        <v>-1224.4308376213598</v>
      </c>
      <c r="AB33" s="181">
        <f t="shared" si="68"/>
        <v>-6620.4166606756226</v>
      </c>
      <c r="AC33" s="181">
        <f t="shared" si="68"/>
        <v>-2258.4439162602566</v>
      </c>
      <c r="AD33" s="181">
        <f t="shared" si="68"/>
        <v>-1083.4632753346855</v>
      </c>
      <c r="AE33" s="181">
        <f t="shared" si="68"/>
        <v>-2260.5981298180732</v>
      </c>
      <c r="AF33" s="181">
        <f t="shared" si="68"/>
        <v>-1290.2740507528961</v>
      </c>
      <c r="AG33" s="181">
        <f t="shared" si="68"/>
        <v>-4256.6435786853917</v>
      </c>
      <c r="AH33" s="181">
        <f t="shared" ref="AH33:BM33" si="69">AH21+AH22-AH23-AH26-AH30</f>
        <v>-5205.8972602932554</v>
      </c>
      <c r="AI33" s="181">
        <f t="shared" si="69"/>
        <v>-6610.2756978190109</v>
      </c>
      <c r="AJ33" s="181">
        <f t="shared" si="69"/>
        <v>-6023.483328203969</v>
      </c>
      <c r="AK33" s="181">
        <f t="shared" si="69"/>
        <v>-4071.3166908352332</v>
      </c>
      <c r="AL33" s="181">
        <f t="shared" si="69"/>
        <v>-2996.5385388885556</v>
      </c>
      <c r="AM33" s="181">
        <f t="shared" si="69"/>
        <v>-1297.8137982052522</v>
      </c>
      <c r="AN33" s="181">
        <f t="shared" si="69"/>
        <v>-6909.5959699105279</v>
      </c>
      <c r="AO33" s="181">
        <f t="shared" si="69"/>
        <v>-2373.1012314473946</v>
      </c>
      <c r="AP33" s="181">
        <f t="shared" si="69"/>
        <v>-1151.0782806136431</v>
      </c>
      <c r="AQ33" s="181">
        <f t="shared" si="69"/>
        <v>-2375.2554450052098</v>
      </c>
      <c r="AR33" s="181">
        <f t="shared" si="69"/>
        <v>-1366.0753185062683</v>
      </c>
      <c r="AS33" s="181">
        <f t="shared" si="69"/>
        <v>-4451.0565432849089</v>
      </c>
      <c r="AT33" s="181">
        <f t="shared" si="69"/>
        <v>-5438.2372878859296</v>
      </c>
      <c r="AU33" s="181">
        <f t="shared" si="69"/>
        <v>-6898.747778641562</v>
      </c>
      <c r="AV33" s="181">
        <f t="shared" si="69"/>
        <v>-6288.4406299707607</v>
      </c>
      <c r="AW33" s="181">
        <f t="shared" si="69"/>
        <v>-4258.144242836117</v>
      </c>
      <c r="AX33" s="181">
        <f t="shared" si="69"/>
        <v>-3140.3318805404174</v>
      </c>
      <c r="AY33" s="181">
        <f t="shared" si="69"/>
        <v>-1373.6150659586235</v>
      </c>
      <c r="AZ33" s="181">
        <f t="shared" si="69"/>
        <v>-7395.9809202609549</v>
      </c>
      <c r="BA33" s="181">
        <f t="shared" si="69"/>
        <v>-2305.6722579881398</v>
      </c>
      <c r="BB33" s="181">
        <f t="shared" si="69"/>
        <v>-1034.725304849881</v>
      </c>
      <c r="BC33" s="181">
        <f t="shared" si="69"/>
        <v>-2307.8264715459554</v>
      </c>
      <c r="BD33" s="181">
        <f t="shared" si="69"/>
        <v>-1258.2360557158991</v>
      </c>
      <c r="BE33" s="181">
        <f t="shared" si="69"/>
        <v>-4466.573445214528</v>
      </c>
      <c r="BF33" s="181">
        <f t="shared" si="69"/>
        <v>-5493.1983353284322</v>
      </c>
      <c r="BG33" s="181">
        <f t="shared" si="69"/>
        <v>-7012.0860414431354</v>
      </c>
      <c r="BH33" s="181">
        <f t="shared" si="69"/>
        <v>-6095.2548025543474</v>
      </c>
      <c r="BI33" s="181">
        <f t="shared" si="69"/>
        <v>-3983.703475663162</v>
      </c>
      <c r="BJ33" s="181">
        <f t="shared" si="69"/>
        <v>-2821.1355346044752</v>
      </c>
      <c r="BK33" s="181">
        <f t="shared" si="69"/>
        <v>-983.70696316825502</v>
      </c>
      <c r="BL33" s="181">
        <f t="shared" si="69"/>
        <v>-7053.3226681715241</v>
      </c>
      <c r="BM33" s="181">
        <f t="shared" si="69"/>
        <v>-2146.5620671366387</v>
      </c>
      <c r="BN33" s="181">
        <f t="shared" ref="BN33:BX33" si="70">BN21+BN22-BN23-BN26-BN30</f>
        <v>-824.73415160169361</v>
      </c>
      <c r="BO33" s="181">
        <f t="shared" si="70"/>
        <v>-2148.7162806944548</v>
      </c>
      <c r="BP33" s="181">
        <f t="shared" si="70"/>
        <v>-1057.0991639600409</v>
      </c>
      <c r="BQ33" s="181">
        <f t="shared" si="70"/>
        <v>-4393.7269647674566</v>
      </c>
      <c r="BR33" s="181">
        <f t="shared" si="70"/>
        <v>-5461.3737662147641</v>
      </c>
      <c r="BS33" s="181">
        <f t="shared" si="70"/>
        <v>-7064.2684655473413</v>
      </c>
      <c r="BT33" s="181">
        <f t="shared" si="70"/>
        <v>-6404.0334727429572</v>
      </c>
      <c r="BU33" s="181">
        <f t="shared" si="70"/>
        <v>-4207.9381196160793</v>
      </c>
      <c r="BV33" s="181">
        <f t="shared" si="70"/>
        <v>-2998.7854877549989</v>
      </c>
      <c r="BW33" s="181">
        <f t="shared" si="70"/>
        <v>-1087.7778003012847</v>
      </c>
      <c r="BX33" s="181">
        <f t="shared" si="70"/>
        <v>-7400.0961603446403</v>
      </c>
    </row>
    <row r="34" spans="1:76" x14ac:dyDescent="0.25">
      <c r="A34" s="182" t="s">
        <v>91</v>
      </c>
      <c r="B34" s="181">
        <f t="shared" ref="B34:AG34" si="71">B19+B33</f>
        <v>89090.738492799981</v>
      </c>
      <c r="C34" s="181">
        <f t="shared" si="71"/>
        <v>-11381.8102944</v>
      </c>
      <c r="D34" s="181">
        <f t="shared" si="71"/>
        <v>-14969.7037664</v>
      </c>
      <c r="E34" s="181">
        <f t="shared" si="71"/>
        <v>-9744.8594799999992</v>
      </c>
      <c r="F34" s="181">
        <f t="shared" si="71"/>
        <v>-18908.03572</v>
      </c>
      <c r="G34" s="181">
        <f t="shared" si="71"/>
        <v>-12558.507000000001</v>
      </c>
      <c r="H34" s="181">
        <f t="shared" si="71"/>
        <v>-9984.8594799999992</v>
      </c>
      <c r="I34" s="181">
        <f t="shared" si="71"/>
        <v>-5895.09512</v>
      </c>
      <c r="J34" s="181">
        <f t="shared" si="71"/>
        <v>-5196.6919199999993</v>
      </c>
      <c r="K34" s="181">
        <f t="shared" si="71"/>
        <v>2041.689707344761</v>
      </c>
      <c r="L34" s="181">
        <f t="shared" si="71"/>
        <v>646.26406734476222</v>
      </c>
      <c r="M34" s="181">
        <f t="shared" si="71"/>
        <v>646.26406734476177</v>
      </c>
      <c r="N34" s="181">
        <f t="shared" si="71"/>
        <v>646.26406734476166</v>
      </c>
      <c r="O34" s="181">
        <f t="shared" si="71"/>
        <v>479.93859862453837</v>
      </c>
      <c r="P34" s="181">
        <f t="shared" si="71"/>
        <v>812.58953606498517</v>
      </c>
      <c r="Q34" s="181">
        <f t="shared" si="71"/>
        <v>-1556.3559897410951</v>
      </c>
      <c r="R34" s="181">
        <f t="shared" si="71"/>
        <v>210.54496148746671</v>
      </c>
      <c r="S34" s="181">
        <f t="shared" si="71"/>
        <v>1384.9352235175709</v>
      </c>
      <c r="T34" s="181">
        <f t="shared" si="71"/>
        <v>673.03443411510659</v>
      </c>
      <c r="U34" s="181">
        <f t="shared" si="71"/>
        <v>178.03965734476151</v>
      </c>
      <c r="V34" s="181">
        <f t="shared" si="71"/>
        <v>178.03965734476242</v>
      </c>
      <c r="W34" s="181">
        <f t="shared" si="71"/>
        <v>178.03965734476151</v>
      </c>
      <c r="X34" s="181">
        <f t="shared" si="71"/>
        <v>178.03965734476151</v>
      </c>
      <c r="Y34" s="181">
        <f t="shared" si="71"/>
        <v>178.03965734476151</v>
      </c>
      <c r="Z34" s="181">
        <f t="shared" si="71"/>
        <v>178.03965734476287</v>
      </c>
      <c r="AA34" s="181">
        <f t="shared" si="71"/>
        <v>178.03965734476196</v>
      </c>
      <c r="AB34" s="181">
        <f t="shared" si="71"/>
        <v>178.03965734476151</v>
      </c>
      <c r="AC34" s="181">
        <f t="shared" si="71"/>
        <v>178.03965734476242</v>
      </c>
      <c r="AD34" s="181">
        <f t="shared" si="71"/>
        <v>178.03965734476196</v>
      </c>
      <c r="AE34" s="181">
        <f t="shared" si="71"/>
        <v>178.03965734476151</v>
      </c>
      <c r="AF34" s="181">
        <f t="shared" si="71"/>
        <v>178.03965734476242</v>
      </c>
      <c r="AG34" s="181">
        <f t="shared" si="71"/>
        <v>178.03965734476242</v>
      </c>
      <c r="AH34" s="181">
        <f t="shared" ref="AH34:BM34" si="72">AH19+AH33</f>
        <v>178.03965734476151</v>
      </c>
      <c r="AI34" s="181">
        <f t="shared" si="72"/>
        <v>178.03965734476333</v>
      </c>
      <c r="AJ34" s="181">
        <f t="shared" si="72"/>
        <v>178.03965734476333</v>
      </c>
      <c r="AK34" s="181">
        <f t="shared" si="72"/>
        <v>178.03965734476242</v>
      </c>
      <c r="AL34" s="181">
        <f t="shared" si="72"/>
        <v>178.03965734476196</v>
      </c>
      <c r="AM34" s="181">
        <f t="shared" si="72"/>
        <v>178.03965734476151</v>
      </c>
      <c r="AN34" s="181">
        <f t="shared" si="72"/>
        <v>178.03965734476242</v>
      </c>
      <c r="AO34" s="181">
        <f t="shared" si="72"/>
        <v>178.03965734476105</v>
      </c>
      <c r="AP34" s="181">
        <f t="shared" si="72"/>
        <v>178.03965734476151</v>
      </c>
      <c r="AQ34" s="181">
        <f t="shared" si="72"/>
        <v>178.03965734476196</v>
      </c>
      <c r="AR34" s="181">
        <f t="shared" si="72"/>
        <v>178.03965734476128</v>
      </c>
      <c r="AS34" s="181">
        <f t="shared" si="72"/>
        <v>178.03965734476151</v>
      </c>
      <c r="AT34" s="181">
        <f t="shared" si="72"/>
        <v>178.0396573447606</v>
      </c>
      <c r="AU34" s="181">
        <f t="shared" si="72"/>
        <v>178.03965734476151</v>
      </c>
      <c r="AV34" s="181">
        <f t="shared" si="72"/>
        <v>178.03965734476242</v>
      </c>
      <c r="AW34" s="181">
        <f t="shared" si="72"/>
        <v>178.03965734476151</v>
      </c>
      <c r="AX34" s="181">
        <f t="shared" si="72"/>
        <v>178.03965734476105</v>
      </c>
      <c r="AY34" s="181">
        <f t="shared" si="72"/>
        <v>178.03965734476219</v>
      </c>
      <c r="AZ34" s="181">
        <f t="shared" si="72"/>
        <v>-8.1158226552388442</v>
      </c>
      <c r="BA34" s="181">
        <f t="shared" si="72"/>
        <v>364.19522734476232</v>
      </c>
      <c r="BB34" s="181">
        <f t="shared" si="72"/>
        <v>364.19522734476186</v>
      </c>
      <c r="BC34" s="181">
        <f t="shared" si="72"/>
        <v>364.19522734476232</v>
      </c>
      <c r="BD34" s="181">
        <f t="shared" si="72"/>
        <v>364.19522734476186</v>
      </c>
      <c r="BE34" s="181">
        <f t="shared" si="72"/>
        <v>364.19522734476323</v>
      </c>
      <c r="BF34" s="181">
        <f t="shared" si="72"/>
        <v>364.19522734476232</v>
      </c>
      <c r="BG34" s="181">
        <f t="shared" si="72"/>
        <v>364.19534734476292</v>
      </c>
      <c r="BH34" s="181">
        <f t="shared" si="72"/>
        <v>646.26406734476222</v>
      </c>
      <c r="BI34" s="181">
        <f t="shared" si="72"/>
        <v>646.26406734476222</v>
      </c>
      <c r="BJ34" s="181">
        <f t="shared" si="72"/>
        <v>646.26406734476222</v>
      </c>
      <c r="BK34" s="181">
        <f t="shared" si="72"/>
        <v>646.264067344762</v>
      </c>
      <c r="BL34" s="181">
        <f t="shared" si="72"/>
        <v>646.26406734476222</v>
      </c>
      <c r="BM34" s="181">
        <f t="shared" si="72"/>
        <v>646.26406734476222</v>
      </c>
      <c r="BN34" s="181">
        <f t="shared" ref="BN34:BX34" si="73">BN19+BN33</f>
        <v>646.26406734476222</v>
      </c>
      <c r="BO34" s="181">
        <f t="shared" si="73"/>
        <v>646.26406734476222</v>
      </c>
      <c r="BP34" s="181">
        <f t="shared" si="73"/>
        <v>646.264067344762</v>
      </c>
      <c r="BQ34" s="181">
        <f t="shared" si="73"/>
        <v>646.26406734476222</v>
      </c>
      <c r="BR34" s="181">
        <f t="shared" si="73"/>
        <v>646.26406734476313</v>
      </c>
      <c r="BS34" s="181">
        <f t="shared" si="73"/>
        <v>622.9307340114301</v>
      </c>
      <c r="BT34" s="181">
        <f t="shared" si="73"/>
        <v>622.93073401142919</v>
      </c>
      <c r="BU34" s="181">
        <f t="shared" si="73"/>
        <v>622.9307340114301</v>
      </c>
      <c r="BV34" s="181">
        <f t="shared" si="73"/>
        <v>622.93073401142919</v>
      </c>
      <c r="BW34" s="181">
        <f t="shared" si="73"/>
        <v>622.93073401142897</v>
      </c>
      <c r="BX34" s="181">
        <f t="shared" si="73"/>
        <v>622.93073401142919</v>
      </c>
    </row>
    <row r="35" spans="1:76" x14ac:dyDescent="0.25">
      <c r="A35" s="183" t="s">
        <v>123</v>
      </c>
      <c r="B35" s="175">
        <v>0</v>
      </c>
      <c r="C35" s="175">
        <f t="shared" ref="C35:V35" si="74">B36</f>
        <v>89090.738492799981</v>
      </c>
      <c r="D35" s="175">
        <f t="shared" si="74"/>
        <v>77708.928198399983</v>
      </c>
      <c r="E35" s="175">
        <f t="shared" si="74"/>
        <v>62739.224431999988</v>
      </c>
      <c r="F35" s="175">
        <f t="shared" si="74"/>
        <v>52994.364951999989</v>
      </c>
      <c r="G35" s="175">
        <f t="shared" si="74"/>
        <v>34086.329231999989</v>
      </c>
      <c r="H35" s="175">
        <f t="shared" si="74"/>
        <v>21527.822231999991</v>
      </c>
      <c r="I35" s="175">
        <f t="shared" si="74"/>
        <v>11542.962751999992</v>
      </c>
      <c r="J35" s="175">
        <f t="shared" si="74"/>
        <v>5647.8676319999922</v>
      </c>
      <c r="K35" s="175">
        <f t="shared" si="74"/>
        <v>451.17571199999293</v>
      </c>
      <c r="L35" s="175">
        <f t="shared" si="74"/>
        <v>2492.8654193447537</v>
      </c>
      <c r="M35" s="175">
        <f t="shared" si="74"/>
        <v>3139.1294866895164</v>
      </c>
      <c r="N35" s="175">
        <f t="shared" si="74"/>
        <v>3785.3935540342786</v>
      </c>
      <c r="O35" s="175">
        <f t="shared" si="74"/>
        <v>4431.6576213790404</v>
      </c>
      <c r="P35" s="175">
        <f t="shared" si="74"/>
        <v>4911.5962200035792</v>
      </c>
      <c r="Q35" s="175">
        <f t="shared" si="74"/>
        <v>5724.1857560685639</v>
      </c>
      <c r="R35" s="175">
        <f t="shared" si="74"/>
        <v>4167.8297663274689</v>
      </c>
      <c r="S35" s="175">
        <f t="shared" si="74"/>
        <v>4378.3747278149358</v>
      </c>
      <c r="T35" s="175">
        <f t="shared" si="74"/>
        <v>5763.3099513325069</v>
      </c>
      <c r="U35" s="175">
        <f t="shared" si="74"/>
        <v>6436.3443854476136</v>
      </c>
      <c r="V35" s="175">
        <f t="shared" si="74"/>
        <v>6614.3840427923751</v>
      </c>
      <c r="W35" s="175">
        <f t="shared" ref="W35:AP35" si="75">V36</f>
        <v>6792.4237001371384</v>
      </c>
      <c r="X35" s="175">
        <f t="shared" si="75"/>
        <v>6970.463357481899</v>
      </c>
      <c r="Y35" s="175">
        <f t="shared" si="75"/>
        <v>7148.5030148266605</v>
      </c>
      <c r="Z35" s="175">
        <f t="shared" si="75"/>
        <v>7326.542672171423</v>
      </c>
      <c r="AA35" s="175">
        <f t="shared" si="75"/>
        <v>7504.5823295161863</v>
      </c>
      <c r="AB35" s="175">
        <f t="shared" si="75"/>
        <v>7682.6219868609478</v>
      </c>
      <c r="AC35" s="175">
        <f t="shared" si="75"/>
        <v>7860.6616442057093</v>
      </c>
      <c r="AD35" s="175">
        <f t="shared" si="75"/>
        <v>8038.7013015504717</v>
      </c>
      <c r="AE35" s="175">
        <f t="shared" si="75"/>
        <v>8216.7409588952341</v>
      </c>
      <c r="AF35" s="175">
        <f t="shared" si="75"/>
        <v>8394.7806162399938</v>
      </c>
      <c r="AG35" s="175">
        <f t="shared" si="75"/>
        <v>8572.8202735847572</v>
      </c>
      <c r="AH35" s="175">
        <f t="shared" si="75"/>
        <v>8750.8599309295205</v>
      </c>
      <c r="AI35" s="175">
        <f t="shared" si="75"/>
        <v>8928.899588274282</v>
      </c>
      <c r="AJ35" s="175">
        <f t="shared" si="75"/>
        <v>9106.9392456190435</v>
      </c>
      <c r="AK35" s="175">
        <f t="shared" si="75"/>
        <v>9284.9789029638068</v>
      </c>
      <c r="AL35" s="175">
        <f t="shared" si="75"/>
        <v>9463.0185603085702</v>
      </c>
      <c r="AM35" s="175">
        <f t="shared" si="75"/>
        <v>9641.0582176533317</v>
      </c>
      <c r="AN35" s="175">
        <f t="shared" si="75"/>
        <v>9819.0978749980932</v>
      </c>
      <c r="AO35" s="175">
        <f t="shared" si="75"/>
        <v>9997.1375323428565</v>
      </c>
      <c r="AP35" s="175">
        <f t="shared" si="75"/>
        <v>10175.177189687616</v>
      </c>
      <c r="AQ35" s="175">
        <f t="shared" ref="AQ35" si="76">AP36</f>
        <v>10353.216847032378</v>
      </c>
      <c r="AR35" s="175">
        <f t="shared" ref="AR35" si="77">AQ36</f>
        <v>10531.256504377139</v>
      </c>
      <c r="AS35" s="175">
        <f t="shared" ref="AS35" si="78">AR36</f>
        <v>10709.296161721901</v>
      </c>
      <c r="AT35" s="175">
        <f t="shared" ref="AT35" si="79">AS36</f>
        <v>10887.335819066662</v>
      </c>
      <c r="AU35" s="175">
        <f t="shared" ref="AU35" si="80">AT36</f>
        <v>11065.375476411422</v>
      </c>
      <c r="AV35" s="175">
        <f t="shared" ref="AV35" si="81">AU36</f>
        <v>11243.415133756185</v>
      </c>
      <c r="AW35" s="175">
        <f t="shared" ref="AW35" si="82">AV36</f>
        <v>11421.454791100949</v>
      </c>
      <c r="AX35" s="175">
        <f t="shared" ref="AX35" si="83">AW36</f>
        <v>11599.49444844571</v>
      </c>
      <c r="AY35" s="175">
        <f t="shared" ref="AY35" si="84">AX36</f>
        <v>11777.534105790472</v>
      </c>
      <c r="AZ35" s="175">
        <f t="shared" ref="AZ35" si="85">AY36</f>
        <v>11955.573763135233</v>
      </c>
      <c r="BA35" s="175">
        <f t="shared" ref="BA35" si="86">AZ36</f>
        <v>11947.457940479995</v>
      </c>
      <c r="BB35" s="175">
        <f t="shared" ref="BB35" si="87">BA36</f>
        <v>12311.653167824759</v>
      </c>
      <c r="BC35" s="175">
        <f t="shared" ref="BC35" si="88">BB36</f>
        <v>12675.848395169522</v>
      </c>
      <c r="BD35" s="175">
        <f t="shared" ref="BD35" si="89">BC36</f>
        <v>13040.043622514284</v>
      </c>
      <c r="BE35" s="175">
        <f t="shared" ref="BE35" si="90">BD36</f>
        <v>13404.238849859046</v>
      </c>
      <c r="BF35" s="175">
        <f t="shared" ref="BF35" si="91">BE36</f>
        <v>13768.43407720381</v>
      </c>
      <c r="BG35" s="175">
        <f t="shared" ref="BG35" si="92">BF36</f>
        <v>14132.629304548571</v>
      </c>
      <c r="BH35" s="175">
        <f t="shared" ref="BH35" si="93">BG36</f>
        <v>14496.824651893332</v>
      </c>
      <c r="BI35" s="175">
        <f t="shared" ref="BI35" si="94">BH36</f>
        <v>15143.088719238094</v>
      </c>
      <c r="BJ35" s="175">
        <f t="shared" ref="BJ35" si="95">BI36</f>
        <v>15789.352786582858</v>
      </c>
      <c r="BK35" s="175">
        <f t="shared" ref="BK35" si="96">BJ36</f>
        <v>16435.616853927619</v>
      </c>
      <c r="BL35" s="175">
        <f t="shared" ref="BL35" si="97">BK36</f>
        <v>17081.880921272383</v>
      </c>
      <c r="BM35" s="175">
        <f t="shared" ref="BM35" si="98">BL36</f>
        <v>17728.144988617147</v>
      </c>
      <c r="BN35" s="175">
        <f t="shared" ref="BN35" si="99">BM36</f>
        <v>18374.409055961911</v>
      </c>
      <c r="BO35" s="175">
        <f t="shared" ref="BO35" si="100">BN36</f>
        <v>19020.673123306675</v>
      </c>
      <c r="BP35" s="175">
        <f t="shared" ref="BP35" si="101">BO36</f>
        <v>19666.937190651439</v>
      </c>
      <c r="BQ35" s="175">
        <f t="shared" ref="BQ35" si="102">BP36</f>
        <v>20313.201257996203</v>
      </c>
      <c r="BR35" s="175">
        <f t="shared" ref="BR35" si="103">BQ36</f>
        <v>20959.465325340963</v>
      </c>
      <c r="BS35" s="175">
        <f t="shared" ref="BS35" si="104">BR36</f>
        <v>21605.729392685727</v>
      </c>
      <c r="BT35" s="175">
        <f t="shared" ref="BT35" si="105">BS36</f>
        <v>22228.660126697156</v>
      </c>
      <c r="BU35" s="175">
        <f t="shared" ref="BU35" si="106">BT36</f>
        <v>22851.590860708584</v>
      </c>
      <c r="BV35" s="175">
        <f t="shared" ref="BV35" si="107">BU36</f>
        <v>23474.521594720016</v>
      </c>
      <c r="BW35" s="175">
        <f t="shared" ref="BW35" si="108">BV36</f>
        <v>24097.452328731444</v>
      </c>
      <c r="BX35" s="175">
        <f t="shared" ref="BX35" si="109">BW36</f>
        <v>24720.383062742872</v>
      </c>
    </row>
    <row r="36" spans="1:76" x14ac:dyDescent="0.25">
      <c r="A36" s="174" t="s">
        <v>124</v>
      </c>
      <c r="B36" s="184">
        <f t="shared" ref="B36:AG36" si="110">B35+B15+B18+B33</f>
        <v>89090.738492799981</v>
      </c>
      <c r="C36" s="184">
        <f t="shared" si="110"/>
        <v>77708.928198399983</v>
      </c>
      <c r="D36" s="184">
        <f t="shared" si="110"/>
        <v>62739.224431999988</v>
      </c>
      <c r="E36" s="184">
        <f t="shared" si="110"/>
        <v>52994.364951999989</v>
      </c>
      <c r="F36" s="184">
        <f t="shared" si="110"/>
        <v>34086.329231999989</v>
      </c>
      <c r="G36" s="184">
        <f t="shared" si="110"/>
        <v>21527.822231999991</v>
      </c>
      <c r="H36" s="184">
        <f t="shared" si="110"/>
        <v>11542.962751999992</v>
      </c>
      <c r="I36" s="184">
        <f t="shared" si="110"/>
        <v>5647.8676319999922</v>
      </c>
      <c r="J36" s="184">
        <f t="shared" si="110"/>
        <v>451.17571199999293</v>
      </c>
      <c r="K36" s="184">
        <f t="shared" si="110"/>
        <v>2492.8654193447537</v>
      </c>
      <c r="L36" s="184">
        <f t="shared" si="110"/>
        <v>3139.1294866895164</v>
      </c>
      <c r="M36" s="184">
        <f t="shared" si="110"/>
        <v>3785.3935540342786</v>
      </c>
      <c r="N36" s="184">
        <f t="shared" si="110"/>
        <v>4431.6576213790404</v>
      </c>
      <c r="O36" s="184">
        <f t="shared" si="110"/>
        <v>4911.5962200035792</v>
      </c>
      <c r="P36" s="184">
        <f t="shared" si="110"/>
        <v>5724.1857560685639</v>
      </c>
      <c r="Q36" s="184">
        <f t="shared" si="110"/>
        <v>4167.8297663274689</v>
      </c>
      <c r="R36" s="184">
        <f t="shared" si="110"/>
        <v>4378.3747278149358</v>
      </c>
      <c r="S36" s="184">
        <f t="shared" si="110"/>
        <v>5763.3099513325069</v>
      </c>
      <c r="T36" s="184">
        <f t="shared" si="110"/>
        <v>6436.3443854476136</v>
      </c>
      <c r="U36" s="184">
        <f t="shared" si="110"/>
        <v>6614.3840427923751</v>
      </c>
      <c r="V36" s="184">
        <f t="shared" si="110"/>
        <v>6792.4237001371384</v>
      </c>
      <c r="W36" s="184">
        <f t="shared" si="110"/>
        <v>6970.463357481899</v>
      </c>
      <c r="X36" s="184">
        <f t="shared" si="110"/>
        <v>7148.5030148266605</v>
      </c>
      <c r="Y36" s="184">
        <f t="shared" si="110"/>
        <v>7326.542672171423</v>
      </c>
      <c r="Z36" s="184">
        <f t="shared" si="110"/>
        <v>7504.5823295161863</v>
      </c>
      <c r="AA36" s="184">
        <f t="shared" si="110"/>
        <v>7682.6219868609478</v>
      </c>
      <c r="AB36" s="184">
        <f t="shared" si="110"/>
        <v>7860.6616442057093</v>
      </c>
      <c r="AC36" s="184">
        <f t="shared" si="110"/>
        <v>8038.7013015504717</v>
      </c>
      <c r="AD36" s="184">
        <f t="shared" si="110"/>
        <v>8216.7409588952341</v>
      </c>
      <c r="AE36" s="184">
        <f t="shared" si="110"/>
        <v>8394.7806162399938</v>
      </c>
      <c r="AF36" s="184">
        <f t="shared" si="110"/>
        <v>8572.8202735847572</v>
      </c>
      <c r="AG36" s="184">
        <f t="shared" si="110"/>
        <v>8750.8599309295205</v>
      </c>
      <c r="AH36" s="184">
        <f t="shared" ref="AH36:BM36" si="111">AH35+AH15+AH18+AH33</f>
        <v>8928.899588274282</v>
      </c>
      <c r="AI36" s="184">
        <f t="shared" si="111"/>
        <v>9106.9392456190435</v>
      </c>
      <c r="AJ36" s="184">
        <f t="shared" si="111"/>
        <v>9284.9789029638068</v>
      </c>
      <c r="AK36" s="184">
        <f t="shared" si="111"/>
        <v>9463.0185603085702</v>
      </c>
      <c r="AL36" s="184">
        <f t="shared" si="111"/>
        <v>9641.0582176533317</v>
      </c>
      <c r="AM36" s="184">
        <f t="shared" si="111"/>
        <v>9819.0978749980932</v>
      </c>
      <c r="AN36" s="184">
        <f t="shared" si="111"/>
        <v>9997.1375323428565</v>
      </c>
      <c r="AO36" s="184">
        <f t="shared" si="111"/>
        <v>10175.177189687616</v>
      </c>
      <c r="AP36" s="184">
        <f t="shared" si="111"/>
        <v>10353.216847032378</v>
      </c>
      <c r="AQ36" s="184">
        <f t="shared" si="111"/>
        <v>10531.256504377139</v>
      </c>
      <c r="AR36" s="184">
        <f t="shared" si="111"/>
        <v>10709.296161721901</v>
      </c>
      <c r="AS36" s="184">
        <f t="shared" si="111"/>
        <v>10887.335819066662</v>
      </c>
      <c r="AT36" s="184">
        <f t="shared" si="111"/>
        <v>11065.375476411422</v>
      </c>
      <c r="AU36" s="184">
        <f t="shared" si="111"/>
        <v>11243.415133756185</v>
      </c>
      <c r="AV36" s="184">
        <f t="shared" si="111"/>
        <v>11421.454791100949</v>
      </c>
      <c r="AW36" s="184">
        <f t="shared" si="111"/>
        <v>11599.49444844571</v>
      </c>
      <c r="AX36" s="184">
        <f t="shared" si="111"/>
        <v>11777.534105790472</v>
      </c>
      <c r="AY36" s="184">
        <f t="shared" si="111"/>
        <v>11955.573763135233</v>
      </c>
      <c r="AZ36" s="184">
        <f t="shared" si="111"/>
        <v>11947.457940479995</v>
      </c>
      <c r="BA36" s="184">
        <f t="shared" si="111"/>
        <v>12311.653167824759</v>
      </c>
      <c r="BB36" s="184">
        <f t="shared" si="111"/>
        <v>12675.848395169522</v>
      </c>
      <c r="BC36" s="184">
        <f t="shared" si="111"/>
        <v>13040.043622514284</v>
      </c>
      <c r="BD36" s="184">
        <f t="shared" si="111"/>
        <v>13404.238849859046</v>
      </c>
      <c r="BE36" s="184">
        <f t="shared" si="111"/>
        <v>13768.43407720381</v>
      </c>
      <c r="BF36" s="184">
        <f t="shared" si="111"/>
        <v>14132.629304548571</v>
      </c>
      <c r="BG36" s="184">
        <f t="shared" si="111"/>
        <v>14496.824651893332</v>
      </c>
      <c r="BH36" s="184">
        <f t="shared" si="111"/>
        <v>15143.088719238094</v>
      </c>
      <c r="BI36" s="184">
        <f t="shared" si="111"/>
        <v>15789.352786582858</v>
      </c>
      <c r="BJ36" s="184">
        <f t="shared" si="111"/>
        <v>16435.616853927619</v>
      </c>
      <c r="BK36" s="184">
        <f t="shared" si="111"/>
        <v>17081.880921272383</v>
      </c>
      <c r="BL36" s="184">
        <f t="shared" si="111"/>
        <v>17728.144988617147</v>
      </c>
      <c r="BM36" s="184">
        <f t="shared" si="111"/>
        <v>18374.409055961911</v>
      </c>
      <c r="BN36" s="184">
        <f t="shared" ref="BN36:BX36" si="112">BN35+BN15+BN18+BN33</f>
        <v>19020.673123306675</v>
      </c>
      <c r="BO36" s="184">
        <f t="shared" si="112"/>
        <v>19666.937190651439</v>
      </c>
      <c r="BP36" s="184">
        <f t="shared" si="112"/>
        <v>20313.201257996203</v>
      </c>
      <c r="BQ36" s="184">
        <f t="shared" si="112"/>
        <v>20959.465325340963</v>
      </c>
      <c r="BR36" s="184">
        <f t="shared" si="112"/>
        <v>21605.729392685727</v>
      </c>
      <c r="BS36" s="184">
        <f t="shared" si="112"/>
        <v>22228.660126697156</v>
      </c>
      <c r="BT36" s="184">
        <f t="shared" si="112"/>
        <v>22851.590860708584</v>
      </c>
      <c r="BU36" s="184">
        <f t="shared" si="112"/>
        <v>23474.521594720016</v>
      </c>
      <c r="BV36" s="184">
        <f t="shared" si="112"/>
        <v>24097.452328731444</v>
      </c>
      <c r="BW36" s="184">
        <f t="shared" si="112"/>
        <v>24720.383062742872</v>
      </c>
      <c r="BX36" s="184">
        <f t="shared" si="112"/>
        <v>25343.313796754301</v>
      </c>
    </row>
    <row r="37" spans="1:76" x14ac:dyDescent="0.25">
      <c r="A37" s="63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</row>
    <row r="38" spans="1:76" x14ac:dyDescent="0.25">
      <c r="A38" s="16" t="s">
        <v>76</v>
      </c>
      <c r="C38" s="36"/>
      <c r="G38" s="234"/>
      <c r="H38" s="234"/>
      <c r="I38" s="234"/>
      <c r="J38" s="234"/>
      <c r="K38" s="234"/>
    </row>
    <row r="39" spans="1:76" x14ac:dyDescent="0.25">
      <c r="A39" s="16"/>
    </row>
    <row r="40" spans="1:76" x14ac:dyDescent="0.25">
      <c r="A40" s="16" t="s">
        <v>153</v>
      </c>
    </row>
    <row r="41" spans="1:76" x14ac:dyDescent="0.25">
      <c r="A41" s="173"/>
      <c r="B41" s="185">
        <f>ОФР!B32</f>
        <v>2020</v>
      </c>
      <c r="C41" s="185">
        <f>ОФР!C32</f>
        <v>2021</v>
      </c>
      <c r="D41" s="185">
        <f>ОФР!D32</f>
        <v>2022</v>
      </c>
      <c r="E41" s="185">
        <f>ОФР!E32</f>
        <v>2023</v>
      </c>
      <c r="F41" s="185">
        <f>ОФР!F32</f>
        <v>2024</v>
      </c>
      <c r="G41" s="185">
        <f>ОФР!G32</f>
        <v>2025</v>
      </c>
      <c r="H41" s="185">
        <f>ОФР!H32</f>
        <v>2026</v>
      </c>
      <c r="I41" s="185" t="str">
        <f>ОФР!I32</f>
        <v>Итого</v>
      </c>
    </row>
    <row r="42" spans="1:76" x14ac:dyDescent="0.25">
      <c r="A42" s="174" t="s">
        <v>125</v>
      </c>
      <c r="B42" s="175"/>
      <c r="C42" s="175"/>
      <c r="D42" s="175"/>
      <c r="E42" s="175"/>
      <c r="F42" s="175"/>
      <c r="G42" s="175"/>
      <c r="H42" s="175"/>
      <c r="I42" s="175"/>
    </row>
    <row r="43" spans="1:76" x14ac:dyDescent="0.25">
      <c r="A43" s="176" t="s">
        <v>117</v>
      </c>
      <c r="B43" s="133">
        <f t="shared" ref="B43:H46" si="113">SUMIF($B$8:$BX$8,B$41,$B11:$BX11)</f>
        <v>0</v>
      </c>
      <c r="C43" s="133">
        <f t="shared" si="113"/>
        <v>29025.193516800005</v>
      </c>
      <c r="D43" s="133">
        <f t="shared" si="113"/>
        <v>81249.548769792033</v>
      </c>
      <c r="E43" s="133">
        <f t="shared" si="113"/>
        <v>86928.644922163207</v>
      </c>
      <c r="F43" s="133">
        <f t="shared" si="113"/>
        <v>90405.79071904975</v>
      </c>
      <c r="G43" s="133">
        <f t="shared" si="113"/>
        <v>94022.02234781174</v>
      </c>
      <c r="H43" s="133">
        <f t="shared" si="113"/>
        <v>97782.903241724212</v>
      </c>
      <c r="I43" s="133">
        <f>SUM(B43:H43)</f>
        <v>479414.10351734096</v>
      </c>
    </row>
    <row r="44" spans="1:76" x14ac:dyDescent="0.25">
      <c r="A44" s="176" t="s">
        <v>78</v>
      </c>
      <c r="B44" s="133">
        <f t="shared" si="113"/>
        <v>261</v>
      </c>
      <c r="C44" s="133">
        <f t="shared" si="113"/>
        <v>5415.2279999999992</v>
      </c>
      <c r="D44" s="133">
        <f t="shared" si="113"/>
        <v>10332.09216</v>
      </c>
      <c r="E44" s="133">
        <f t="shared" si="113"/>
        <v>10745.375846399998</v>
      </c>
      <c r="F44" s="133">
        <f t="shared" si="113"/>
        <v>11175.190880256005</v>
      </c>
      <c r="G44" s="133">
        <f t="shared" si="113"/>
        <v>11622.198515466242</v>
      </c>
      <c r="H44" s="133">
        <f t="shared" si="113"/>
        <v>12087.086456084888</v>
      </c>
      <c r="I44" s="133">
        <f t="shared" ref="I44:I46" si="114">SUM(B44:H44)</f>
        <v>61638.171858207126</v>
      </c>
    </row>
    <row r="45" spans="1:76" x14ac:dyDescent="0.25">
      <c r="A45" s="176" t="s">
        <v>129</v>
      </c>
      <c r="B45" s="133">
        <f t="shared" si="113"/>
        <v>25.772999999999996</v>
      </c>
      <c r="C45" s="133">
        <f t="shared" si="113"/>
        <v>8375.9339455627178</v>
      </c>
      <c r="D45" s="133">
        <f t="shared" si="113"/>
        <v>21648.462633285271</v>
      </c>
      <c r="E45" s="133">
        <f t="shared" si="113"/>
        <v>22863.391500914629</v>
      </c>
      <c r="F45" s="133">
        <f t="shared" si="113"/>
        <v>23574.39505593232</v>
      </c>
      <c r="G45" s="133">
        <f t="shared" si="113"/>
        <v>24320.042888197222</v>
      </c>
      <c r="H45" s="133">
        <f t="shared" si="113"/>
        <v>25102.537435465896</v>
      </c>
      <c r="I45" s="133">
        <f t="shared" si="114"/>
        <v>125910.53645935805</v>
      </c>
    </row>
    <row r="46" spans="1:76" x14ac:dyDescent="0.25">
      <c r="A46" s="176" t="s">
        <v>128</v>
      </c>
      <c r="B46" s="133">
        <f t="shared" si="113"/>
        <v>84.600000000000009</v>
      </c>
      <c r="C46" s="133">
        <f t="shared" si="113"/>
        <v>2787.890416272</v>
      </c>
      <c r="D46" s="133">
        <f t="shared" si="113"/>
        <v>6570.8943340185615</v>
      </c>
      <c r="E46" s="133">
        <f t="shared" si="113"/>
        <v>6919.0574517043215</v>
      </c>
      <c r="F46" s="133">
        <f t="shared" si="113"/>
        <v>7195.8197497724941</v>
      </c>
      <c r="G46" s="133">
        <f t="shared" si="113"/>
        <v>7483.6525397633932</v>
      </c>
      <c r="H46" s="133">
        <f t="shared" si="113"/>
        <v>7782.99864135393</v>
      </c>
      <c r="I46" s="133">
        <f t="shared" si="114"/>
        <v>38824.9131328847</v>
      </c>
    </row>
    <row r="47" spans="1:76" x14ac:dyDescent="0.25">
      <c r="A47" s="176" t="s">
        <v>118</v>
      </c>
      <c r="B47" s="177">
        <f t="shared" ref="B47:I47" si="115">B43-SUM(B44:B46)</f>
        <v>-371.37300000000005</v>
      </c>
      <c r="C47" s="177">
        <f t="shared" si="115"/>
        <v>12446.141154965288</v>
      </c>
      <c r="D47" s="177">
        <f t="shared" si="115"/>
        <v>42698.099642488203</v>
      </c>
      <c r="E47" s="177">
        <f t="shared" si="115"/>
        <v>46400.820123144258</v>
      </c>
      <c r="F47" s="177">
        <f t="shared" si="115"/>
        <v>48460.385033088925</v>
      </c>
      <c r="G47" s="177">
        <f t="shared" si="115"/>
        <v>50596.128404384879</v>
      </c>
      <c r="H47" s="177">
        <f t="shared" si="115"/>
        <v>52810.280708819497</v>
      </c>
      <c r="I47" s="177">
        <f t="shared" si="115"/>
        <v>253040.4820668911</v>
      </c>
    </row>
    <row r="48" spans="1:76" x14ac:dyDescent="0.25">
      <c r="A48" s="174" t="s">
        <v>126</v>
      </c>
      <c r="B48" s="175"/>
      <c r="C48" s="175"/>
      <c r="D48" s="175"/>
      <c r="E48" s="175"/>
      <c r="F48" s="175"/>
      <c r="G48" s="175"/>
      <c r="H48" s="175"/>
      <c r="I48" s="175"/>
    </row>
    <row r="49" spans="1:9" x14ac:dyDescent="0.25">
      <c r="A49" s="176" t="s">
        <v>119</v>
      </c>
      <c r="B49" s="133">
        <f t="shared" ref="B49:H49" si="116">SUMIF($B$8:$BX$8,B$41,$B17:$BX17)</f>
        <v>70148.743548800005</v>
      </c>
      <c r="C49" s="133">
        <f t="shared" si="116"/>
        <v>61263.996079999997</v>
      </c>
      <c r="D49" s="133">
        <f t="shared" si="116"/>
        <v>0</v>
      </c>
      <c r="E49" s="133">
        <f t="shared" si="116"/>
        <v>0</v>
      </c>
      <c r="F49" s="133">
        <f t="shared" si="116"/>
        <v>0</v>
      </c>
      <c r="G49" s="133">
        <f t="shared" si="116"/>
        <v>0</v>
      </c>
      <c r="H49" s="133">
        <f t="shared" si="116"/>
        <v>0</v>
      </c>
      <c r="I49" s="133">
        <f>SUM(B49:H49)</f>
        <v>131412.73962880002</v>
      </c>
    </row>
    <row r="50" spans="1:9" x14ac:dyDescent="0.25">
      <c r="A50" s="176" t="s">
        <v>120</v>
      </c>
      <c r="B50" s="177">
        <f>0-B49</f>
        <v>-70148.743548800005</v>
      </c>
      <c r="C50" s="177">
        <f t="shared" ref="C50:H50" si="117">0-C49</f>
        <v>-61263.996079999997</v>
      </c>
      <c r="D50" s="177">
        <f t="shared" si="117"/>
        <v>0</v>
      </c>
      <c r="E50" s="177">
        <f t="shared" si="117"/>
        <v>0</v>
      </c>
      <c r="F50" s="177">
        <f t="shared" si="117"/>
        <v>0</v>
      </c>
      <c r="G50" s="177">
        <f t="shared" si="117"/>
        <v>0</v>
      </c>
      <c r="H50" s="177">
        <f t="shared" si="117"/>
        <v>0</v>
      </c>
      <c r="I50" s="133">
        <f>SUM(B50:H50)</f>
        <v>-131412.73962880002</v>
      </c>
    </row>
    <row r="51" spans="1:9" x14ac:dyDescent="0.25">
      <c r="A51" s="176" t="s">
        <v>376</v>
      </c>
      <c r="B51" s="177">
        <f>B47+B50</f>
        <v>-70520.116548800012</v>
      </c>
      <c r="C51" s="177">
        <f t="shared" ref="C51:I51" si="118">C47+C50</f>
        <v>-48817.854925034713</v>
      </c>
      <c r="D51" s="177">
        <f t="shared" si="118"/>
        <v>42698.099642488203</v>
      </c>
      <c r="E51" s="177">
        <f t="shared" si="118"/>
        <v>46400.820123144258</v>
      </c>
      <c r="F51" s="177">
        <f t="shared" si="118"/>
        <v>48460.385033088925</v>
      </c>
      <c r="G51" s="177">
        <f t="shared" si="118"/>
        <v>50596.128404384879</v>
      </c>
      <c r="H51" s="177">
        <f t="shared" si="118"/>
        <v>52810.280708819497</v>
      </c>
      <c r="I51" s="177">
        <f t="shared" si="118"/>
        <v>121627.74243809108</v>
      </c>
    </row>
    <row r="52" spans="1:9" x14ac:dyDescent="0.25">
      <c r="A52" s="174" t="s">
        <v>127</v>
      </c>
      <c r="B52" s="175"/>
      <c r="C52" s="175"/>
      <c r="D52" s="175"/>
      <c r="E52" s="175"/>
      <c r="F52" s="175"/>
      <c r="G52" s="175"/>
      <c r="H52" s="175"/>
      <c r="I52" s="175"/>
    </row>
    <row r="53" spans="1:9" x14ac:dyDescent="0.25">
      <c r="A53" s="176" t="str">
        <f>A21</f>
        <v>Привлеченные инвестиции</v>
      </c>
      <c r="B53" s="133">
        <f t="shared" ref="B53:H54" si="119">SUMIF($B$8:$BX$8,B$41,$B21:$BX21)</f>
        <v>133259.34098079999</v>
      </c>
      <c r="C53" s="133">
        <f t="shared" si="119"/>
        <v>0</v>
      </c>
      <c r="D53" s="133">
        <f t="shared" si="119"/>
        <v>0</v>
      </c>
      <c r="E53" s="133">
        <f t="shared" si="119"/>
        <v>0</v>
      </c>
      <c r="F53" s="133">
        <f t="shared" si="119"/>
        <v>0</v>
      </c>
      <c r="G53" s="133">
        <f t="shared" si="119"/>
        <v>0</v>
      </c>
      <c r="H53" s="133">
        <f t="shared" si="119"/>
        <v>0</v>
      </c>
      <c r="I53" s="133">
        <f>SUM(B53:H53)</f>
        <v>133259.34098079999</v>
      </c>
    </row>
    <row r="54" spans="1:9" x14ac:dyDescent="0.25">
      <c r="A54" s="176" t="s">
        <v>174</v>
      </c>
      <c r="B54" s="133">
        <f t="shared" si="119"/>
        <v>0</v>
      </c>
      <c r="C54" s="133">
        <f t="shared" si="119"/>
        <v>0</v>
      </c>
      <c r="D54" s="133">
        <f t="shared" si="119"/>
        <v>0</v>
      </c>
      <c r="E54" s="133">
        <f t="shared" si="119"/>
        <v>0</v>
      </c>
      <c r="F54" s="133">
        <f t="shared" si="119"/>
        <v>0</v>
      </c>
      <c r="G54" s="133">
        <f t="shared" si="119"/>
        <v>0</v>
      </c>
      <c r="H54" s="133">
        <f t="shared" si="119"/>
        <v>0</v>
      </c>
      <c r="I54" s="133">
        <f t="shared" ref="I54:I63" si="120">SUM(B54:H54)</f>
        <v>0</v>
      </c>
    </row>
    <row r="55" spans="1:9" x14ac:dyDescent="0.25">
      <c r="A55" s="176" t="s">
        <v>681</v>
      </c>
      <c r="B55" s="177">
        <f>SUM(B56:B57)</f>
        <v>0</v>
      </c>
      <c r="C55" s="177">
        <f t="shared" ref="C55:H55" si="121">SUM(C56:C57)</f>
        <v>0</v>
      </c>
      <c r="D55" s="177">
        <f t="shared" si="121"/>
        <v>0</v>
      </c>
      <c r="E55" s="177">
        <f t="shared" si="121"/>
        <v>0</v>
      </c>
      <c r="F55" s="177">
        <f t="shared" si="121"/>
        <v>0</v>
      </c>
      <c r="G55" s="177">
        <f t="shared" si="121"/>
        <v>0</v>
      </c>
      <c r="H55" s="177">
        <f t="shared" si="121"/>
        <v>0</v>
      </c>
      <c r="I55" s="133">
        <f t="shared" si="120"/>
        <v>0</v>
      </c>
    </row>
    <row r="56" spans="1:9" s="13" customFormat="1" x14ac:dyDescent="0.25">
      <c r="A56" s="180" t="s">
        <v>175</v>
      </c>
      <c r="B56" s="133">
        <f t="shared" ref="B56:H57" si="122">SUMIF($B$8:$BX$8,B$41,$B24:$BX24)</f>
        <v>0</v>
      </c>
      <c r="C56" s="133">
        <f t="shared" si="122"/>
        <v>0</v>
      </c>
      <c r="D56" s="133">
        <f t="shared" si="122"/>
        <v>0</v>
      </c>
      <c r="E56" s="133">
        <f t="shared" si="122"/>
        <v>0</v>
      </c>
      <c r="F56" s="133">
        <f t="shared" si="122"/>
        <v>0</v>
      </c>
      <c r="G56" s="133">
        <f t="shared" si="122"/>
        <v>0</v>
      </c>
      <c r="H56" s="133">
        <f t="shared" si="122"/>
        <v>0</v>
      </c>
      <c r="I56" s="133">
        <f t="shared" si="120"/>
        <v>0</v>
      </c>
    </row>
    <row r="57" spans="1:9" s="13" customFormat="1" x14ac:dyDescent="0.25">
      <c r="A57" s="180" t="s">
        <v>121</v>
      </c>
      <c r="B57" s="133">
        <f t="shared" si="122"/>
        <v>0</v>
      </c>
      <c r="C57" s="133">
        <f t="shared" si="122"/>
        <v>0</v>
      </c>
      <c r="D57" s="133">
        <f t="shared" si="122"/>
        <v>0</v>
      </c>
      <c r="E57" s="133">
        <f t="shared" si="122"/>
        <v>0</v>
      </c>
      <c r="F57" s="133">
        <f t="shared" si="122"/>
        <v>0</v>
      </c>
      <c r="G57" s="133">
        <f t="shared" si="122"/>
        <v>0</v>
      </c>
      <c r="H57" s="133">
        <f t="shared" si="122"/>
        <v>0</v>
      </c>
      <c r="I57" s="133">
        <f t="shared" si="120"/>
        <v>0</v>
      </c>
    </row>
    <row r="58" spans="1:9" s="13" customFormat="1" x14ac:dyDescent="0.25">
      <c r="A58" s="176" t="s">
        <v>682</v>
      </c>
      <c r="B58" s="177">
        <f>SUM(B59:B60)</f>
        <v>0</v>
      </c>
      <c r="C58" s="177">
        <f t="shared" ref="C58:H58" si="123">SUM(C59:C60)</f>
        <v>0</v>
      </c>
      <c r="D58" s="177">
        <f t="shared" si="123"/>
        <v>9238.5183799999977</v>
      </c>
      <c r="E58" s="177">
        <f t="shared" si="123"/>
        <v>6332.7852899999989</v>
      </c>
      <c r="F58" s="177">
        <f t="shared" si="123"/>
        <v>6148.785969999999</v>
      </c>
      <c r="G58" s="177">
        <f t="shared" si="123"/>
        <v>2017.6618599999999</v>
      </c>
      <c r="H58" s="177">
        <f t="shared" si="123"/>
        <v>0</v>
      </c>
      <c r="I58" s="133">
        <f t="shared" ref="I58:I60" si="124">SUM(B58:H58)</f>
        <v>23737.751499999998</v>
      </c>
    </row>
    <row r="59" spans="1:9" s="13" customFormat="1" x14ac:dyDescent="0.25">
      <c r="A59" s="180" t="s">
        <v>175</v>
      </c>
      <c r="B59" s="133">
        <f t="shared" ref="B59:H60" si="125">SUMIF($B$8:$BX$8,B$41,$B27:$BX27)</f>
        <v>0</v>
      </c>
      <c r="C59" s="133">
        <f t="shared" si="125"/>
        <v>0</v>
      </c>
      <c r="D59" s="133">
        <f t="shared" si="125"/>
        <v>3619.82546</v>
      </c>
      <c r="E59" s="133">
        <f t="shared" si="125"/>
        <v>714.09237000000007</v>
      </c>
      <c r="F59" s="133">
        <f t="shared" si="125"/>
        <v>343.93756999999999</v>
      </c>
      <c r="G59" s="133">
        <f t="shared" si="125"/>
        <v>43.180100000000003</v>
      </c>
      <c r="H59" s="133">
        <f t="shared" si="125"/>
        <v>0</v>
      </c>
      <c r="I59" s="133">
        <f t="shared" si="124"/>
        <v>4721.0355</v>
      </c>
    </row>
    <row r="60" spans="1:9" s="13" customFormat="1" x14ac:dyDescent="0.25">
      <c r="A60" s="180" t="s">
        <v>121</v>
      </c>
      <c r="B60" s="133">
        <f t="shared" si="125"/>
        <v>0</v>
      </c>
      <c r="C60" s="133">
        <f t="shared" si="125"/>
        <v>0</v>
      </c>
      <c r="D60" s="133">
        <f t="shared" si="125"/>
        <v>5618.6929199999986</v>
      </c>
      <c r="E60" s="133">
        <f t="shared" si="125"/>
        <v>5618.6929199999986</v>
      </c>
      <c r="F60" s="133">
        <f t="shared" si="125"/>
        <v>5804.8483999999989</v>
      </c>
      <c r="G60" s="133">
        <f t="shared" si="125"/>
        <v>1974.4817599999999</v>
      </c>
      <c r="H60" s="133">
        <f t="shared" si="125"/>
        <v>0</v>
      </c>
      <c r="I60" s="133">
        <f t="shared" si="124"/>
        <v>19016.715999999997</v>
      </c>
    </row>
    <row r="61" spans="1:9" s="13" customFormat="1" x14ac:dyDescent="0.25">
      <c r="A61" s="182" t="s">
        <v>380</v>
      </c>
      <c r="B61" s="133">
        <f t="shared" ref="B61:H63" si="126">SUMIF($B$8:$BX$8,B$41,$B30:$BX30)</f>
        <v>0</v>
      </c>
      <c r="C61" s="133">
        <f t="shared" si="126"/>
        <v>8197.1837508967146</v>
      </c>
      <c r="D61" s="133">
        <f t="shared" si="126"/>
        <v>31323.105374351042</v>
      </c>
      <c r="E61" s="133">
        <f t="shared" si="126"/>
        <v>37931.558945007106</v>
      </c>
      <c r="F61" s="133">
        <f t="shared" si="126"/>
        <v>40361.278654951784</v>
      </c>
      <c r="G61" s="133">
        <f t="shared" si="126"/>
        <v>42797.779496247735</v>
      </c>
      <c r="H61" s="133">
        <f t="shared" si="126"/>
        <v>45195.111900682357</v>
      </c>
      <c r="I61" s="133">
        <f>SUM(B61:H61)</f>
        <v>205806.01812213674</v>
      </c>
    </row>
    <row r="62" spans="1:9" s="13" customFormat="1" x14ac:dyDescent="0.25">
      <c r="A62" s="443" t="str">
        <f>A31</f>
        <v>Инициатор проекта</v>
      </c>
      <c r="B62" s="133">
        <f t="shared" si="126"/>
        <v>0</v>
      </c>
      <c r="C62" s="133">
        <f t="shared" si="126"/>
        <v>0</v>
      </c>
      <c r="D62" s="133">
        <f t="shared" si="126"/>
        <v>0</v>
      </c>
      <c r="E62" s="133">
        <f t="shared" si="126"/>
        <v>0</v>
      </c>
      <c r="F62" s="133">
        <f t="shared" si="126"/>
        <v>0</v>
      </c>
      <c r="G62" s="133">
        <f t="shared" si="126"/>
        <v>0</v>
      </c>
      <c r="H62" s="133">
        <f t="shared" si="126"/>
        <v>0</v>
      </c>
      <c r="I62" s="133">
        <f t="shared" si="120"/>
        <v>0</v>
      </c>
    </row>
    <row r="63" spans="1:9" s="13" customFormat="1" x14ac:dyDescent="0.25">
      <c r="A63" s="443" t="str">
        <f>A32</f>
        <v>Инвестор</v>
      </c>
      <c r="B63" s="133">
        <f t="shared" si="126"/>
        <v>0</v>
      </c>
      <c r="C63" s="133">
        <f t="shared" si="126"/>
        <v>8197.1837508967146</v>
      </c>
      <c r="D63" s="133">
        <f t="shared" si="126"/>
        <v>31323.105374351042</v>
      </c>
      <c r="E63" s="133">
        <f t="shared" si="126"/>
        <v>37931.558945007106</v>
      </c>
      <c r="F63" s="133">
        <f t="shared" si="126"/>
        <v>40361.278654951784</v>
      </c>
      <c r="G63" s="133">
        <f t="shared" si="126"/>
        <v>42797.779496247735</v>
      </c>
      <c r="H63" s="133">
        <f t="shared" si="126"/>
        <v>45195.111900682357</v>
      </c>
      <c r="I63" s="133">
        <f t="shared" si="120"/>
        <v>205806.01812213674</v>
      </c>
    </row>
    <row r="64" spans="1:9" x14ac:dyDescent="0.25">
      <c r="A64" s="182" t="s">
        <v>122</v>
      </c>
      <c r="B64" s="181">
        <f>SUM(B53:B54)-B55-B58-B61</f>
        <v>133259.34098079999</v>
      </c>
      <c r="C64" s="181">
        <f t="shared" ref="C64:I64" si="127">SUM(C53:C54)-C55-C58-C61</f>
        <v>-8197.1837508967146</v>
      </c>
      <c r="D64" s="181">
        <f t="shared" si="127"/>
        <v>-40561.623754351036</v>
      </c>
      <c r="E64" s="181">
        <f t="shared" si="127"/>
        <v>-44264.344235007105</v>
      </c>
      <c r="F64" s="181">
        <f t="shared" si="127"/>
        <v>-46510.064624951781</v>
      </c>
      <c r="G64" s="181">
        <f t="shared" si="127"/>
        <v>-44815.441356247735</v>
      </c>
      <c r="H64" s="181">
        <f t="shared" si="127"/>
        <v>-45195.111900682357</v>
      </c>
      <c r="I64" s="181">
        <f t="shared" si="127"/>
        <v>-96284.428641336752</v>
      </c>
    </row>
    <row r="65" spans="1:9" x14ac:dyDescent="0.25">
      <c r="A65" s="182" t="s">
        <v>91</v>
      </c>
      <c r="B65" s="181">
        <f>B51+B64</f>
        <v>62739.224431999974</v>
      </c>
      <c r="C65" s="181">
        <f t="shared" ref="C65:I65" si="128">C51+C64</f>
        <v>-57015.038675931428</v>
      </c>
      <c r="D65" s="181">
        <f t="shared" si="128"/>
        <v>2136.4758881371672</v>
      </c>
      <c r="E65" s="181">
        <f t="shared" si="128"/>
        <v>2136.4758881371527</v>
      </c>
      <c r="F65" s="181">
        <f t="shared" si="128"/>
        <v>1950.3204081371441</v>
      </c>
      <c r="G65" s="181">
        <f t="shared" si="128"/>
        <v>5780.6870481371443</v>
      </c>
      <c r="H65" s="181">
        <f t="shared" si="128"/>
        <v>7615.1688081371394</v>
      </c>
      <c r="I65" s="181">
        <f t="shared" si="128"/>
        <v>25343.31379675433</v>
      </c>
    </row>
    <row r="66" spans="1:9" x14ac:dyDescent="0.25">
      <c r="A66" s="183" t="s">
        <v>123</v>
      </c>
      <c r="B66" s="175">
        <f>B35</f>
        <v>0</v>
      </c>
      <c r="C66" s="175">
        <f t="shared" ref="C66:F66" si="129">B67</f>
        <v>62739.224431999974</v>
      </c>
      <c r="D66" s="175">
        <f t="shared" si="129"/>
        <v>5724.1857560685457</v>
      </c>
      <c r="E66" s="175">
        <f t="shared" si="129"/>
        <v>7860.6616442057129</v>
      </c>
      <c r="F66" s="175">
        <f t="shared" si="129"/>
        <v>9997.1375323428656</v>
      </c>
      <c r="G66" s="175">
        <f t="shared" ref="G66" si="130">F67</f>
        <v>11947.45794048001</v>
      </c>
      <c r="H66" s="175">
        <f t="shared" ref="H66" si="131">G67</f>
        <v>17728.144988617154</v>
      </c>
      <c r="I66" s="175">
        <v>0</v>
      </c>
    </row>
    <row r="67" spans="1:9" x14ac:dyDescent="0.25">
      <c r="A67" s="174" t="s">
        <v>124</v>
      </c>
      <c r="B67" s="184">
        <f t="shared" ref="B67:I67" si="132">B66+B47+B50+B64</f>
        <v>62739.224431999974</v>
      </c>
      <c r="C67" s="184">
        <f t="shared" si="132"/>
        <v>5724.1857560685457</v>
      </c>
      <c r="D67" s="184">
        <f t="shared" si="132"/>
        <v>7860.6616442057129</v>
      </c>
      <c r="E67" s="184">
        <f t="shared" si="132"/>
        <v>9997.1375323428656</v>
      </c>
      <c r="F67" s="184">
        <f t="shared" si="132"/>
        <v>11947.45794048001</v>
      </c>
      <c r="G67" s="184">
        <f t="shared" si="132"/>
        <v>17728.144988617154</v>
      </c>
      <c r="H67" s="184">
        <f t="shared" si="132"/>
        <v>25343.313796754286</v>
      </c>
      <c r="I67" s="184">
        <f t="shared" si="132"/>
        <v>25343.31379675433</v>
      </c>
    </row>
    <row r="70" spans="1:9" x14ac:dyDescent="0.25">
      <c r="A70" s="16" t="s">
        <v>645</v>
      </c>
      <c r="C70" s="36"/>
      <c r="G70" s="234"/>
      <c r="H70" s="234"/>
    </row>
    <row r="71" spans="1:9" x14ac:dyDescent="0.25">
      <c r="A71" s="16"/>
    </row>
    <row r="72" spans="1:9" x14ac:dyDescent="0.25">
      <c r="A72" s="16" t="s">
        <v>675</v>
      </c>
    </row>
    <row r="73" spans="1:9" x14ac:dyDescent="0.25">
      <c r="A73" s="173"/>
      <c r="B73" s="185">
        <f>B41</f>
        <v>2020</v>
      </c>
      <c r="C73" s="185">
        <f t="shared" ref="C73:H73" si="133">C41</f>
        <v>2021</v>
      </c>
      <c r="D73" s="185">
        <f t="shared" si="133"/>
        <v>2022</v>
      </c>
      <c r="E73" s="185">
        <f t="shared" si="133"/>
        <v>2023</v>
      </c>
      <c r="F73" s="185">
        <f t="shared" si="133"/>
        <v>2024</v>
      </c>
      <c r="G73" s="185">
        <f t="shared" si="133"/>
        <v>2025</v>
      </c>
      <c r="H73" s="185">
        <f t="shared" si="133"/>
        <v>2026</v>
      </c>
    </row>
    <row r="74" spans="1:9" x14ac:dyDescent="0.25">
      <c r="A74" s="176" t="s">
        <v>354</v>
      </c>
      <c r="B74" s="133">
        <f>B53+B54</f>
        <v>133259.34098079999</v>
      </c>
      <c r="C74" s="133">
        <f t="shared" ref="C74:H74" si="134">C53+C54</f>
        <v>0</v>
      </c>
      <c r="D74" s="133">
        <f t="shared" si="134"/>
        <v>0</v>
      </c>
      <c r="E74" s="133">
        <f t="shared" si="134"/>
        <v>0</v>
      </c>
      <c r="F74" s="133">
        <f t="shared" si="134"/>
        <v>0</v>
      </c>
      <c r="G74" s="133">
        <f t="shared" si="134"/>
        <v>0</v>
      </c>
      <c r="H74" s="133">
        <f t="shared" si="134"/>
        <v>0</v>
      </c>
    </row>
    <row r="75" spans="1:9" x14ac:dyDescent="0.25">
      <c r="A75" s="176" t="s">
        <v>646</v>
      </c>
      <c r="B75" s="133">
        <f>SUM(B76:B78)</f>
        <v>0</v>
      </c>
      <c r="C75" s="133">
        <f t="shared" ref="C75:H75" si="135">SUM(C76:C78)</f>
        <v>8197.1837508967146</v>
      </c>
      <c r="D75" s="133">
        <f t="shared" si="135"/>
        <v>31323.105374351042</v>
      </c>
      <c r="E75" s="133">
        <f t="shared" si="135"/>
        <v>37931.558945007106</v>
      </c>
      <c r="F75" s="133">
        <f t="shared" si="135"/>
        <v>40361.278654951784</v>
      </c>
      <c r="G75" s="133">
        <f t="shared" si="135"/>
        <v>42797.779496247735</v>
      </c>
      <c r="H75" s="133">
        <f t="shared" si="135"/>
        <v>45195.111900682357</v>
      </c>
    </row>
    <row r="76" spans="1:9" x14ac:dyDescent="0.25">
      <c r="A76" s="449" t="s">
        <v>672</v>
      </c>
      <c r="B76" s="450">
        <f>B63</f>
        <v>0</v>
      </c>
      <c r="C76" s="450">
        <f t="shared" ref="C76:H76" si="136">C63</f>
        <v>8197.1837508967146</v>
      </c>
      <c r="D76" s="450">
        <f t="shared" si="136"/>
        <v>31323.105374351042</v>
      </c>
      <c r="E76" s="450">
        <f t="shared" si="136"/>
        <v>37931.558945007106</v>
      </c>
      <c r="F76" s="450">
        <f t="shared" si="136"/>
        <v>40361.278654951784</v>
      </c>
      <c r="G76" s="450">
        <f t="shared" si="136"/>
        <v>42797.779496247735</v>
      </c>
      <c r="H76" s="450">
        <f t="shared" si="136"/>
        <v>45195.111900682357</v>
      </c>
    </row>
    <row r="77" spans="1:9" x14ac:dyDescent="0.25">
      <c r="A77" s="449" t="s">
        <v>669</v>
      </c>
      <c r="B77" s="450">
        <f>B56</f>
        <v>0</v>
      </c>
      <c r="C77" s="450">
        <f t="shared" ref="C77:H77" si="137">C56</f>
        <v>0</v>
      </c>
      <c r="D77" s="450">
        <f t="shared" si="137"/>
        <v>0</v>
      </c>
      <c r="E77" s="450">
        <f t="shared" si="137"/>
        <v>0</v>
      </c>
      <c r="F77" s="450">
        <f t="shared" si="137"/>
        <v>0</v>
      </c>
      <c r="G77" s="450">
        <f t="shared" si="137"/>
        <v>0</v>
      </c>
      <c r="H77" s="450">
        <f t="shared" si="137"/>
        <v>0</v>
      </c>
    </row>
    <row r="78" spans="1:9" x14ac:dyDescent="0.25">
      <c r="A78" s="449" t="s">
        <v>673</v>
      </c>
      <c r="B78" s="450">
        <f>B57</f>
        <v>0</v>
      </c>
      <c r="C78" s="450">
        <f t="shared" ref="C78:H78" si="138">C57</f>
        <v>0</v>
      </c>
      <c r="D78" s="450">
        <f t="shared" si="138"/>
        <v>0</v>
      </c>
      <c r="E78" s="450">
        <f t="shared" si="138"/>
        <v>0</v>
      </c>
      <c r="F78" s="450">
        <f t="shared" si="138"/>
        <v>0</v>
      </c>
      <c r="G78" s="450">
        <f t="shared" si="138"/>
        <v>0</v>
      </c>
      <c r="H78" s="450">
        <f t="shared" si="138"/>
        <v>0</v>
      </c>
    </row>
    <row r="79" spans="1:9" x14ac:dyDescent="0.25">
      <c r="A79" s="176" t="s">
        <v>647</v>
      </c>
      <c r="B79" s="133">
        <f>B75-B74</f>
        <v>-133259.34098079999</v>
      </c>
      <c r="C79" s="133">
        <f t="shared" ref="C79:H79" si="139">C75-C74</f>
        <v>8197.1837508967146</v>
      </c>
      <c r="D79" s="133">
        <f t="shared" si="139"/>
        <v>31323.105374351042</v>
      </c>
      <c r="E79" s="133">
        <f t="shared" si="139"/>
        <v>37931.558945007106</v>
      </c>
      <c r="F79" s="133">
        <f t="shared" si="139"/>
        <v>40361.278654951784</v>
      </c>
      <c r="G79" s="133">
        <f t="shared" si="139"/>
        <v>42797.779496247735</v>
      </c>
      <c r="H79" s="133">
        <f t="shared" si="139"/>
        <v>45195.111900682357</v>
      </c>
    </row>
    <row r="80" spans="1:9" x14ac:dyDescent="0.25">
      <c r="A80" s="176" t="s">
        <v>648</v>
      </c>
      <c r="B80" s="133">
        <f>B79</f>
        <v>-133259.34098079999</v>
      </c>
      <c r="C80" s="133">
        <f>B80+C79</f>
        <v>-125062.15722990327</v>
      </c>
      <c r="D80" s="133">
        <f t="shared" ref="D80:H80" si="140">C80+D79</f>
        <v>-93739.051855552229</v>
      </c>
      <c r="E80" s="133">
        <f t="shared" si="140"/>
        <v>-55807.492910545123</v>
      </c>
      <c r="F80" s="133">
        <f t="shared" si="140"/>
        <v>-15446.214255593339</v>
      </c>
      <c r="G80" s="133">
        <f t="shared" si="140"/>
        <v>27351.565240654396</v>
      </c>
      <c r="H80" s="133">
        <f t="shared" si="140"/>
        <v>72546.677141336753</v>
      </c>
      <c r="I80" s="465"/>
    </row>
    <row r="81" spans="1:8" x14ac:dyDescent="0.25">
      <c r="A81" s="174" t="s">
        <v>651</v>
      </c>
      <c r="B81" s="503">
        <f>3-E80/F79</f>
        <v>4.3826988333953167</v>
      </c>
      <c r="C81" s="504"/>
      <c r="D81" s="504"/>
      <c r="E81" s="504"/>
      <c r="F81" s="504"/>
      <c r="G81" s="504"/>
      <c r="H81" s="505"/>
    </row>
    <row r="82" spans="1:8" x14ac:dyDescent="0.25">
      <c r="A82" s="176" t="s">
        <v>649</v>
      </c>
      <c r="B82" s="247" t="str">
        <f>IF(B80&lt;0,"-",B80/$B$74)</f>
        <v>-</v>
      </c>
      <c r="C82" s="247" t="str">
        <f t="shared" ref="C82:H82" si="141">IF(C80&lt;0,"-",C80/$B$74)</f>
        <v>-</v>
      </c>
      <c r="D82" s="247" t="str">
        <f t="shared" si="141"/>
        <v>-</v>
      </c>
      <c r="E82" s="247" t="str">
        <f t="shared" si="141"/>
        <v>-</v>
      </c>
      <c r="F82" s="247" t="str">
        <f t="shared" si="141"/>
        <v>-</v>
      </c>
      <c r="G82" s="247">
        <f t="shared" si="141"/>
        <v>0.20525064163866164</v>
      </c>
      <c r="H82" s="247">
        <f t="shared" si="141"/>
        <v>0.54440219055104955</v>
      </c>
    </row>
    <row r="83" spans="1:8" x14ac:dyDescent="0.25">
      <c r="A83" s="176" t="s">
        <v>650</v>
      </c>
      <c r="B83" s="247" t="str">
        <f>IF(SUM($B79:B79)&lt;0,"-",IRR($B79:B79))</f>
        <v>-</v>
      </c>
      <c r="C83" s="247" t="str">
        <f>IF(SUM($B79:C79)&lt;0,"-",IRR($B79:C79))</f>
        <v>-</v>
      </c>
      <c r="D83" s="247" t="str">
        <f>IF(SUM($B79:D79)&lt;0,"-",IRR($B79:D79))</f>
        <v>-</v>
      </c>
      <c r="E83" s="247" t="str">
        <f>IF(SUM($B79:E79)&lt;0,"-",IRR($B79:E79))</f>
        <v>-</v>
      </c>
      <c r="F83" s="247" t="str">
        <f>IF(SUM($B79:F79)&lt;0,"-",IRR($B79:F79))</f>
        <v>-</v>
      </c>
      <c r="G83" s="247">
        <f>IF(SUM($B79:G79)&lt;0,"-",IRR($B79:G79))</f>
        <v>5.565531032938198E-2</v>
      </c>
      <c r="H83" s="247">
        <f>IF(SUM($B79:H79)&lt;0,"-",IRR($B79:H79))</f>
        <v>0.11746310613029176</v>
      </c>
    </row>
  </sheetData>
  <protectedRanges>
    <protectedRange password="CA8E" sqref="F16:BX16 F20:BX20" name="Диапазон1"/>
  </protectedRanges>
  <mergeCells count="1">
    <mergeCell ref="B81:H81"/>
  </mergeCells>
  <phoneticPr fontId="6" type="noConversion"/>
  <conditionalFormatting sqref="B35:BX36 B66:I67">
    <cfRule type="cellIs" dxfId="0" priority="7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X85"/>
  <sheetViews>
    <sheetView showGridLines="0" workbookViewId="0">
      <selection activeCell="A22" sqref="A22:B34"/>
    </sheetView>
  </sheetViews>
  <sheetFormatPr defaultColWidth="9.33203125" defaultRowHeight="13.2" x14ac:dyDescent="0.25"/>
  <cols>
    <col min="1" max="1" width="52.33203125" style="13" customWidth="1"/>
    <col min="2" max="3" width="12.33203125" style="13" customWidth="1"/>
    <col min="4" max="7" width="12.33203125" style="3" customWidth="1"/>
    <col min="8" max="76" width="12.33203125" style="13" customWidth="1"/>
    <col min="77" max="16384" width="9.33203125" style="13"/>
  </cols>
  <sheetData>
    <row r="1" spans="1:76" s="376" customFormat="1" ht="28.5" customHeight="1" x14ac:dyDescent="0.3">
      <c r="A1" s="392" t="s">
        <v>163</v>
      </c>
      <c r="B1" s="375"/>
    </row>
    <row r="2" spans="1:76" s="376" customFormat="1" ht="19.5" customHeight="1" x14ac:dyDescent="0.25">
      <c r="A2" s="380" t="str">
        <f>ОДДС!A2</f>
        <v>Парк мобильных домов</v>
      </c>
      <c r="B2" s="377"/>
    </row>
    <row r="3" spans="1:76" s="376" customFormat="1" ht="15" customHeight="1" x14ac:dyDescent="0.25">
      <c r="A3" s="378"/>
      <c r="B3" s="379"/>
    </row>
    <row r="4" spans="1:76" s="12" customFormat="1" ht="21.75" customHeight="1" x14ac:dyDescent="0.25">
      <c r="A4" s="14"/>
      <c r="B4" s="14"/>
      <c r="C4"/>
    </row>
    <row r="5" spans="1:76" s="12" customFormat="1" ht="15" customHeight="1" x14ac:dyDescent="0.25">
      <c r="A5" s="19" t="s">
        <v>80</v>
      </c>
      <c r="B5" s="19"/>
      <c r="C5" s="15"/>
      <c r="D5" s="15"/>
      <c r="E5" s="15"/>
      <c r="F5" s="15"/>
      <c r="G5" s="15"/>
      <c r="H5" s="15"/>
      <c r="I5" s="15"/>
      <c r="J5" s="15"/>
    </row>
    <row r="6" spans="1:76" s="12" customFormat="1" ht="9" customHeight="1" x14ac:dyDescent="0.25">
      <c r="A6" s="14"/>
      <c r="B6" s="14"/>
      <c r="C6" s="15"/>
    </row>
    <row r="7" spans="1:76" x14ac:dyDescent="0.25">
      <c r="A7" s="16" t="s">
        <v>130</v>
      </c>
      <c r="B7" s="16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</row>
    <row r="8" spans="1:76" ht="12.75" customHeight="1" x14ac:dyDescent="0.25">
      <c r="A8" s="499" t="s">
        <v>71</v>
      </c>
      <c r="B8" s="185">
        <f>ОФР!B8</f>
        <v>2020</v>
      </c>
      <c r="C8" s="185">
        <f>ОФР!C8</f>
        <v>2020</v>
      </c>
      <c r="D8" s="185">
        <f>ОФР!D8</f>
        <v>2020</v>
      </c>
      <c r="E8" s="185">
        <f>ОФР!E8</f>
        <v>2021</v>
      </c>
      <c r="F8" s="185">
        <f>ОФР!F8</f>
        <v>2021</v>
      </c>
      <c r="G8" s="185">
        <f>ОФР!G8</f>
        <v>2021</v>
      </c>
      <c r="H8" s="185">
        <f>ОФР!H8</f>
        <v>2021</v>
      </c>
      <c r="I8" s="185">
        <f>ОФР!I8</f>
        <v>2021</v>
      </c>
      <c r="J8" s="185">
        <f>ОФР!J8</f>
        <v>2021</v>
      </c>
      <c r="K8" s="185">
        <f>ОФР!K8</f>
        <v>2021</v>
      </c>
      <c r="L8" s="185">
        <f>ОФР!L8</f>
        <v>2021</v>
      </c>
      <c r="M8" s="185">
        <f>ОФР!M8</f>
        <v>2021</v>
      </c>
      <c r="N8" s="185">
        <f>ОФР!N8</f>
        <v>2021</v>
      </c>
      <c r="O8" s="185">
        <f>ОФР!O8</f>
        <v>2021</v>
      </c>
      <c r="P8" s="185">
        <f>ОФР!P8</f>
        <v>2021</v>
      </c>
      <c r="Q8" s="185">
        <f>ОФР!Q8</f>
        <v>2022</v>
      </c>
      <c r="R8" s="185">
        <f>ОФР!R8</f>
        <v>2022</v>
      </c>
      <c r="S8" s="185">
        <f>ОФР!S8</f>
        <v>2022</v>
      </c>
      <c r="T8" s="185">
        <f>ОФР!T8</f>
        <v>2022</v>
      </c>
      <c r="U8" s="185">
        <f>ОФР!U8</f>
        <v>2022</v>
      </c>
      <c r="V8" s="185">
        <f>ОФР!V8</f>
        <v>2022</v>
      </c>
      <c r="W8" s="185">
        <f>ОФР!W8</f>
        <v>2022</v>
      </c>
      <c r="X8" s="185">
        <f>ОФР!X8</f>
        <v>2022</v>
      </c>
      <c r="Y8" s="185">
        <f>ОФР!Y8</f>
        <v>2022</v>
      </c>
      <c r="Z8" s="185">
        <f>ОФР!Z8</f>
        <v>2022</v>
      </c>
      <c r="AA8" s="185">
        <f>ОФР!AA8</f>
        <v>2022</v>
      </c>
      <c r="AB8" s="185">
        <f>ОФР!AB8</f>
        <v>2022</v>
      </c>
      <c r="AC8" s="185">
        <f>ОФР!AC8</f>
        <v>2023</v>
      </c>
      <c r="AD8" s="185">
        <f>ОФР!AD8</f>
        <v>2023</v>
      </c>
      <c r="AE8" s="185">
        <f>ОФР!AE8</f>
        <v>2023</v>
      </c>
      <c r="AF8" s="185">
        <f>ОФР!AF8</f>
        <v>2023</v>
      </c>
      <c r="AG8" s="185">
        <f>ОФР!AG8</f>
        <v>2023</v>
      </c>
      <c r="AH8" s="185">
        <f>ОФР!AH8</f>
        <v>2023</v>
      </c>
      <c r="AI8" s="185">
        <f>ОФР!AI8</f>
        <v>2023</v>
      </c>
      <c r="AJ8" s="185">
        <f>ОФР!AJ8</f>
        <v>2023</v>
      </c>
      <c r="AK8" s="185">
        <f>ОФР!AK8</f>
        <v>2023</v>
      </c>
      <c r="AL8" s="185">
        <f>ОФР!AL8</f>
        <v>2023</v>
      </c>
      <c r="AM8" s="185">
        <f>ОФР!AM8</f>
        <v>2023</v>
      </c>
      <c r="AN8" s="185">
        <f>ОФР!AN8</f>
        <v>2023</v>
      </c>
      <c r="AO8" s="185">
        <f>ОФР!AO8</f>
        <v>2024</v>
      </c>
      <c r="AP8" s="185">
        <f>ОФР!AP8</f>
        <v>2024</v>
      </c>
      <c r="AQ8" s="185">
        <f>ОФР!AQ8</f>
        <v>2024</v>
      </c>
      <c r="AR8" s="185">
        <f>ОФР!AR8</f>
        <v>2024</v>
      </c>
      <c r="AS8" s="185">
        <f>ОФР!AS8</f>
        <v>2024</v>
      </c>
      <c r="AT8" s="185">
        <f>ОФР!AT8</f>
        <v>2024</v>
      </c>
      <c r="AU8" s="185">
        <f>ОФР!AU8</f>
        <v>2024</v>
      </c>
      <c r="AV8" s="185">
        <f>ОФР!AV8</f>
        <v>2024</v>
      </c>
      <c r="AW8" s="185">
        <f>ОФР!AW8</f>
        <v>2024</v>
      </c>
      <c r="AX8" s="185">
        <f>ОФР!AX8</f>
        <v>2024</v>
      </c>
      <c r="AY8" s="185">
        <f>ОФР!AY8</f>
        <v>2024</v>
      </c>
      <c r="AZ8" s="185">
        <f>ОФР!AZ8</f>
        <v>2024</v>
      </c>
      <c r="BA8" s="185">
        <f>ОФР!BA8</f>
        <v>2025</v>
      </c>
      <c r="BB8" s="185">
        <f>ОФР!BB8</f>
        <v>2025</v>
      </c>
      <c r="BC8" s="185">
        <f>ОФР!BC8</f>
        <v>2025</v>
      </c>
      <c r="BD8" s="185">
        <f>ОФР!BD8</f>
        <v>2025</v>
      </c>
      <c r="BE8" s="185">
        <f>ОФР!BE8</f>
        <v>2025</v>
      </c>
      <c r="BF8" s="185">
        <f>ОФР!BF8</f>
        <v>2025</v>
      </c>
      <c r="BG8" s="185">
        <f>ОФР!BG8</f>
        <v>2025</v>
      </c>
      <c r="BH8" s="185">
        <f>ОФР!BH8</f>
        <v>2025</v>
      </c>
      <c r="BI8" s="185">
        <f>ОФР!BI8</f>
        <v>2025</v>
      </c>
      <c r="BJ8" s="185">
        <f>ОФР!BJ8</f>
        <v>2025</v>
      </c>
      <c r="BK8" s="185">
        <f>ОФР!BK8</f>
        <v>2025</v>
      </c>
      <c r="BL8" s="185">
        <f>ОФР!BL8</f>
        <v>2025</v>
      </c>
      <c r="BM8" s="185">
        <f>ОФР!BM8</f>
        <v>2026</v>
      </c>
      <c r="BN8" s="185">
        <f>ОФР!BN8</f>
        <v>2026</v>
      </c>
      <c r="BO8" s="185">
        <f>ОФР!BO8</f>
        <v>2026</v>
      </c>
      <c r="BP8" s="185">
        <f>ОФР!BP8</f>
        <v>2026</v>
      </c>
      <c r="BQ8" s="185">
        <f>ОФР!BQ8</f>
        <v>2026</v>
      </c>
      <c r="BR8" s="185">
        <f>ОФР!BR8</f>
        <v>2026</v>
      </c>
      <c r="BS8" s="185">
        <f>ОФР!BS8</f>
        <v>2026</v>
      </c>
      <c r="BT8" s="185">
        <f>ОФР!BT8</f>
        <v>2026</v>
      </c>
      <c r="BU8" s="185">
        <f>ОФР!BU8</f>
        <v>2026</v>
      </c>
      <c r="BV8" s="185">
        <f>ОФР!BV8</f>
        <v>2026</v>
      </c>
      <c r="BW8" s="185">
        <f>ОФР!BW8</f>
        <v>2026</v>
      </c>
      <c r="BX8" s="185">
        <f>ОФР!BX8</f>
        <v>2026</v>
      </c>
    </row>
    <row r="9" spans="1:76" ht="12.75" customHeight="1" x14ac:dyDescent="0.25">
      <c r="A9" s="500"/>
      <c r="B9" s="396">
        <f>ОФР!B9</f>
        <v>44106</v>
      </c>
      <c r="C9" s="396">
        <f>ОФР!C9</f>
        <v>44137</v>
      </c>
      <c r="D9" s="396">
        <f>ОФР!D9</f>
        <v>44167</v>
      </c>
      <c r="E9" s="396">
        <f>ОФР!E9</f>
        <v>44198</v>
      </c>
      <c r="F9" s="396">
        <f>ОФР!F9</f>
        <v>44229</v>
      </c>
      <c r="G9" s="396">
        <f>ОФР!G9</f>
        <v>44257</v>
      </c>
      <c r="H9" s="396">
        <f>ОФР!H9</f>
        <v>44288</v>
      </c>
      <c r="I9" s="396">
        <f>ОФР!I9</f>
        <v>44318</v>
      </c>
      <c r="J9" s="396">
        <f>ОФР!J9</f>
        <v>44349</v>
      </c>
      <c r="K9" s="396">
        <f>ОФР!K9</f>
        <v>44379</v>
      </c>
      <c r="L9" s="396">
        <f>ОФР!L9</f>
        <v>44410</v>
      </c>
      <c r="M9" s="396">
        <f>ОФР!M9</f>
        <v>44441</v>
      </c>
      <c r="N9" s="396">
        <f>ОФР!N9</f>
        <v>44471</v>
      </c>
      <c r="O9" s="396">
        <f>ОФР!O9</f>
        <v>44502</v>
      </c>
      <c r="P9" s="396">
        <f>ОФР!P9</f>
        <v>44532</v>
      </c>
      <c r="Q9" s="396">
        <f>ОФР!Q9</f>
        <v>44563</v>
      </c>
      <c r="R9" s="396">
        <f>ОФР!R9</f>
        <v>44594</v>
      </c>
      <c r="S9" s="396">
        <f>ОФР!S9</f>
        <v>44622</v>
      </c>
      <c r="T9" s="396">
        <f>ОФР!T9</f>
        <v>44653</v>
      </c>
      <c r="U9" s="396">
        <f>ОФР!U9</f>
        <v>44683</v>
      </c>
      <c r="V9" s="396">
        <f>ОФР!V9</f>
        <v>44714</v>
      </c>
      <c r="W9" s="396">
        <f>ОФР!W9</f>
        <v>44744</v>
      </c>
      <c r="X9" s="396">
        <f>ОФР!X9</f>
        <v>44775</v>
      </c>
      <c r="Y9" s="396">
        <f>ОФР!Y9</f>
        <v>44806</v>
      </c>
      <c r="Z9" s="396">
        <f>ОФР!Z9</f>
        <v>44836</v>
      </c>
      <c r="AA9" s="396">
        <f>ОФР!AA9</f>
        <v>44867</v>
      </c>
      <c r="AB9" s="396">
        <f>ОФР!AB9</f>
        <v>44897</v>
      </c>
      <c r="AC9" s="396">
        <f>ОФР!AC9</f>
        <v>44928</v>
      </c>
      <c r="AD9" s="396">
        <f>ОФР!AD9</f>
        <v>44959</v>
      </c>
      <c r="AE9" s="396">
        <f>ОФР!AE9</f>
        <v>44987</v>
      </c>
      <c r="AF9" s="396">
        <f>ОФР!AF9</f>
        <v>45018</v>
      </c>
      <c r="AG9" s="396">
        <f>ОФР!AG9</f>
        <v>45048</v>
      </c>
      <c r="AH9" s="396">
        <f>ОФР!AH9</f>
        <v>45079</v>
      </c>
      <c r="AI9" s="396">
        <f>ОФР!AI9</f>
        <v>45109</v>
      </c>
      <c r="AJ9" s="396">
        <f>ОФР!AJ9</f>
        <v>45140</v>
      </c>
      <c r="AK9" s="396">
        <f>ОФР!AK9</f>
        <v>45171</v>
      </c>
      <c r="AL9" s="396">
        <f>ОФР!AL9</f>
        <v>45201</v>
      </c>
      <c r="AM9" s="396">
        <f>ОФР!AM9</f>
        <v>45232</v>
      </c>
      <c r="AN9" s="396">
        <f>ОФР!AN9</f>
        <v>45262</v>
      </c>
      <c r="AO9" s="396">
        <f>ОФР!AO9</f>
        <v>45293</v>
      </c>
      <c r="AP9" s="396">
        <f>ОФР!AP9</f>
        <v>45324</v>
      </c>
      <c r="AQ9" s="396">
        <f>ОФР!AQ9</f>
        <v>45353</v>
      </c>
      <c r="AR9" s="396">
        <f>ОФР!AR9</f>
        <v>45384</v>
      </c>
      <c r="AS9" s="396">
        <f>ОФР!AS9</f>
        <v>45414</v>
      </c>
      <c r="AT9" s="396">
        <f>ОФР!AT9</f>
        <v>45445</v>
      </c>
      <c r="AU9" s="396">
        <f>ОФР!AU9</f>
        <v>45475</v>
      </c>
      <c r="AV9" s="396">
        <f>ОФР!AV9</f>
        <v>45506</v>
      </c>
      <c r="AW9" s="396">
        <f>ОФР!AW9</f>
        <v>45537</v>
      </c>
      <c r="AX9" s="396">
        <f>ОФР!AX9</f>
        <v>45567</v>
      </c>
      <c r="AY9" s="396">
        <f>ОФР!AY9</f>
        <v>45598</v>
      </c>
      <c r="AZ9" s="396">
        <f>ОФР!AZ9</f>
        <v>45628</v>
      </c>
      <c r="BA9" s="396">
        <f>ОФР!BA9</f>
        <v>45659</v>
      </c>
      <c r="BB9" s="396">
        <f>ОФР!BB9</f>
        <v>45690</v>
      </c>
      <c r="BC9" s="396">
        <f>ОФР!BC9</f>
        <v>45718</v>
      </c>
      <c r="BD9" s="396">
        <f>ОФР!BD9</f>
        <v>45749</v>
      </c>
      <c r="BE9" s="396">
        <f>ОФР!BE9</f>
        <v>45779</v>
      </c>
      <c r="BF9" s="396">
        <f>ОФР!BF9</f>
        <v>45810</v>
      </c>
      <c r="BG9" s="396">
        <f>ОФР!BG9</f>
        <v>45840</v>
      </c>
      <c r="BH9" s="396">
        <f>ОФР!BH9</f>
        <v>45871</v>
      </c>
      <c r="BI9" s="396">
        <f>ОФР!BI9</f>
        <v>45902</v>
      </c>
      <c r="BJ9" s="396">
        <f>ОФР!BJ9</f>
        <v>45932</v>
      </c>
      <c r="BK9" s="396">
        <f>ОФР!BK9</f>
        <v>45963</v>
      </c>
      <c r="BL9" s="396">
        <f>ОФР!BL9</f>
        <v>45993</v>
      </c>
      <c r="BM9" s="396">
        <f>ОФР!BM9</f>
        <v>46024</v>
      </c>
      <c r="BN9" s="396">
        <f>ОФР!BN9</f>
        <v>46055</v>
      </c>
      <c r="BO9" s="396">
        <f>ОФР!BO9</f>
        <v>46083</v>
      </c>
      <c r="BP9" s="396">
        <f>ОФР!BP9</f>
        <v>46114</v>
      </c>
      <c r="BQ9" s="396">
        <f>ОФР!BQ9</f>
        <v>46144</v>
      </c>
      <c r="BR9" s="396">
        <f>ОФР!BR9</f>
        <v>46175</v>
      </c>
      <c r="BS9" s="396">
        <f>ОФР!BS9</f>
        <v>46205</v>
      </c>
      <c r="BT9" s="396">
        <f>ОФР!BT9</f>
        <v>46236</v>
      </c>
      <c r="BU9" s="396">
        <f>ОФР!BU9</f>
        <v>46267</v>
      </c>
      <c r="BV9" s="396">
        <f>ОФР!BV9</f>
        <v>46297</v>
      </c>
      <c r="BW9" s="396">
        <f>ОФР!BW9</f>
        <v>46328</v>
      </c>
      <c r="BX9" s="396">
        <f>ОФР!BX9</f>
        <v>46358</v>
      </c>
    </row>
    <row r="10" spans="1:76" x14ac:dyDescent="0.25">
      <c r="A10" s="90" t="s">
        <v>357</v>
      </c>
      <c r="B10" s="133">
        <f>ОДДС!B19</f>
        <v>-44168.602488000004</v>
      </c>
      <c r="C10" s="133">
        <f>ОДДС!C19</f>
        <v>-11381.8102944</v>
      </c>
      <c r="D10" s="133">
        <f>ОДДС!D19</f>
        <v>-14969.7037664</v>
      </c>
      <c r="E10" s="133">
        <f>ОДДС!E19</f>
        <v>-9744.8594799999992</v>
      </c>
      <c r="F10" s="133">
        <f>ОДДС!F19</f>
        <v>-18908.03572</v>
      </c>
      <c r="G10" s="133">
        <f>ОДДС!G19</f>
        <v>-12558.507000000001</v>
      </c>
      <c r="H10" s="133">
        <f>ОДДС!H19</f>
        <v>-9984.8594799999992</v>
      </c>
      <c r="I10" s="133">
        <f>ОДДС!I19</f>
        <v>-5895.09512</v>
      </c>
      <c r="J10" s="133">
        <f>ОДДС!J19</f>
        <v>-5196.6919199999993</v>
      </c>
      <c r="K10" s="133">
        <f>ОДДС!K19</f>
        <v>2765.7288034833064</v>
      </c>
      <c r="L10" s="133">
        <f>ОДДС!L19</f>
        <v>2520.7336667887434</v>
      </c>
      <c r="M10" s="133">
        <f>ОДДС!M19</f>
        <v>1773.6078166020834</v>
      </c>
      <c r="N10" s="133">
        <f>ОДДС!N19</f>
        <v>1380.5368618201264</v>
      </c>
      <c r="O10" s="133">
        <f>ОДДС!O19</f>
        <v>479.93859862453837</v>
      </c>
      <c r="P10" s="133">
        <f>ОДДС!P19</f>
        <v>4549.6480476464876</v>
      </c>
      <c r="Q10" s="133">
        <f>ОДДС!Q19</f>
        <v>1553.3656102589048</v>
      </c>
      <c r="R10" s="133">
        <f>ОДДС!R19</f>
        <v>782.7425514874667</v>
      </c>
      <c r="S10" s="133">
        <f>ОДДС!S19</f>
        <v>1944.7002635175709</v>
      </c>
      <c r="T10" s="133">
        <f>ОДДС!T19</f>
        <v>1247.3418807875214</v>
      </c>
      <c r="U10" s="133">
        <f>ОДДС!U19</f>
        <v>4247.2505669403581</v>
      </c>
      <c r="V10" s="133">
        <f>ОДДС!V19</f>
        <v>5160.0359187471031</v>
      </c>
      <c r="W10" s="133">
        <f>ОДДС!W19</f>
        <v>6510.4412281672148</v>
      </c>
      <c r="X10" s="133">
        <f>ОДДС!X19</f>
        <v>5946.2592230288619</v>
      </c>
      <c r="Y10" s="133">
        <f>ОДДС!Y19</f>
        <v>4069.2173450504183</v>
      </c>
      <c r="Z10" s="133">
        <f>ОДДС!Z19</f>
        <v>3035.8182415162642</v>
      </c>
      <c r="AA10" s="133">
        <f>ОДДС!AA19</f>
        <v>1402.4704949661218</v>
      </c>
      <c r="AB10" s="133">
        <f>ОДДС!AB19</f>
        <v>6798.4563180203841</v>
      </c>
      <c r="AC10" s="133">
        <f>ОДДС!AC19</f>
        <v>2436.483573605019</v>
      </c>
      <c r="AD10" s="133">
        <f>ОДДС!AD19</f>
        <v>1261.5029326794474</v>
      </c>
      <c r="AE10" s="133">
        <f>ОДДС!AE19</f>
        <v>2438.6377871628347</v>
      </c>
      <c r="AF10" s="133">
        <f>ОДДС!AF19</f>
        <v>1468.3137080976585</v>
      </c>
      <c r="AG10" s="133">
        <f>ОДДС!AG19</f>
        <v>4434.6832360301541</v>
      </c>
      <c r="AH10" s="133">
        <f>ОДДС!AH19</f>
        <v>5383.9369176380169</v>
      </c>
      <c r="AI10" s="133">
        <f>ОДДС!AI19</f>
        <v>6788.3153551637743</v>
      </c>
      <c r="AJ10" s="133">
        <f>ОДДС!AJ19</f>
        <v>6201.5229855487323</v>
      </c>
      <c r="AK10" s="133">
        <f>ОДДС!AK19</f>
        <v>4249.3563481799956</v>
      </c>
      <c r="AL10" s="133">
        <f>ОДДС!AL19</f>
        <v>3174.5781962333176</v>
      </c>
      <c r="AM10" s="133">
        <f>ОДДС!AM19</f>
        <v>1475.8534555500137</v>
      </c>
      <c r="AN10" s="133">
        <f>ОДДС!AN19</f>
        <v>7087.6356272552903</v>
      </c>
      <c r="AO10" s="133">
        <f>ОДДС!AO19</f>
        <v>2551.1408887921557</v>
      </c>
      <c r="AP10" s="133">
        <f>ОДДС!AP19</f>
        <v>1329.1179379584046</v>
      </c>
      <c r="AQ10" s="133">
        <f>ОДДС!AQ19</f>
        <v>2553.2951023499718</v>
      </c>
      <c r="AR10" s="133">
        <f>ОДДС!AR19</f>
        <v>1544.1149758510296</v>
      </c>
      <c r="AS10" s="133">
        <f>ОДДС!AS19</f>
        <v>4629.0962006296704</v>
      </c>
      <c r="AT10" s="133">
        <f>ОДДС!AT19</f>
        <v>5616.2769452306902</v>
      </c>
      <c r="AU10" s="133">
        <f>ОДДС!AU19</f>
        <v>7076.7874359863235</v>
      </c>
      <c r="AV10" s="133">
        <f>ОДДС!AV19</f>
        <v>6466.4802873155231</v>
      </c>
      <c r="AW10" s="133">
        <f>ОДДС!AW19</f>
        <v>4436.1839001808785</v>
      </c>
      <c r="AX10" s="133">
        <f>ОДДС!AX19</f>
        <v>3318.3715378851784</v>
      </c>
      <c r="AY10" s="133">
        <f>ОДДС!AY19</f>
        <v>1551.6547233033857</v>
      </c>
      <c r="AZ10" s="133">
        <f>ОДДС!AZ19</f>
        <v>7387.8650976057161</v>
      </c>
      <c r="BA10" s="133">
        <f>ОДДС!BA19</f>
        <v>2669.8674853329021</v>
      </c>
      <c r="BB10" s="133">
        <f>ОДДС!BB19</f>
        <v>1398.9205321946429</v>
      </c>
      <c r="BC10" s="133">
        <f>ОДДС!BC19</f>
        <v>2672.0216988907177</v>
      </c>
      <c r="BD10" s="133">
        <f>ОДДС!BD19</f>
        <v>1622.4312830606609</v>
      </c>
      <c r="BE10" s="133">
        <f>ОДДС!BE19</f>
        <v>4830.7686725592912</v>
      </c>
      <c r="BF10" s="133">
        <f>ОДДС!BF19</f>
        <v>5857.3935626731945</v>
      </c>
      <c r="BG10" s="133">
        <f>ОДДС!BG19</f>
        <v>7376.2813887878983</v>
      </c>
      <c r="BH10" s="133">
        <f>ОДДС!BH19</f>
        <v>6741.5188698991096</v>
      </c>
      <c r="BI10" s="133">
        <f>ОДДС!BI19</f>
        <v>4629.9675430079242</v>
      </c>
      <c r="BJ10" s="133">
        <f>ОДДС!BJ19</f>
        <v>3467.3996019492374</v>
      </c>
      <c r="BK10" s="133">
        <f>ОДДС!BK19</f>
        <v>1629.971030513017</v>
      </c>
      <c r="BL10" s="133">
        <f>ОДДС!BL19</f>
        <v>7699.5867355162864</v>
      </c>
      <c r="BM10" s="133">
        <f>ОДДС!BM19</f>
        <v>2792.8261344814009</v>
      </c>
      <c r="BN10" s="133">
        <f>ОДДС!BN19</f>
        <v>1470.9982189464558</v>
      </c>
      <c r="BO10" s="133">
        <f>ОДДС!BO19</f>
        <v>2794.980348039217</v>
      </c>
      <c r="BP10" s="133">
        <f>ОДДС!BP19</f>
        <v>1703.3632313048029</v>
      </c>
      <c r="BQ10" s="133">
        <f>ОДДС!BQ19</f>
        <v>5039.9910321122188</v>
      </c>
      <c r="BR10" s="133">
        <f>ОДДС!BR19</f>
        <v>6107.6378335595273</v>
      </c>
      <c r="BS10" s="133">
        <f>ОДДС!BS19</f>
        <v>7687.1991995587714</v>
      </c>
      <c r="BT10" s="133">
        <f>ОДДС!BT19</f>
        <v>7026.9642067543864</v>
      </c>
      <c r="BU10" s="133">
        <f>ОДДС!BU19</f>
        <v>4830.8688536275095</v>
      </c>
      <c r="BV10" s="133">
        <f>ОДДС!BV19</f>
        <v>3621.7162217664281</v>
      </c>
      <c r="BW10" s="133">
        <f>ОДДС!BW19</f>
        <v>1710.7085343127137</v>
      </c>
      <c r="BX10" s="133">
        <f>ОДДС!BX19</f>
        <v>8023.0268943560695</v>
      </c>
    </row>
    <row r="11" spans="1:76" x14ac:dyDescent="0.25">
      <c r="A11" s="90" t="s">
        <v>148</v>
      </c>
      <c r="B11" s="133">
        <f>B10-ОДДС!B24-ОДДС!B27</f>
        <v>-44168.602488000004</v>
      </c>
      <c r="C11" s="133">
        <f>C10-ОДДС!C24-ОДДС!C27</f>
        <v>-11381.8102944</v>
      </c>
      <c r="D11" s="133">
        <f>D10-ОДДС!D24-ОДДС!D27</f>
        <v>-14969.7037664</v>
      </c>
      <c r="E11" s="133">
        <f>E10-ОДДС!E24-ОДДС!E27</f>
        <v>-9744.8594799999992</v>
      </c>
      <c r="F11" s="133">
        <f>F10-ОДДС!F24-ОДДС!F27</f>
        <v>-18908.03572</v>
      </c>
      <c r="G11" s="133">
        <f>G10-ОДДС!G24-ОДДС!G27</f>
        <v>-12558.507000000001</v>
      </c>
      <c r="H11" s="133">
        <f>H10-ОДДС!H24-ОДДС!H27</f>
        <v>-9984.8594799999992</v>
      </c>
      <c r="I11" s="133">
        <f>I10-ОДДС!I24-ОДДС!I27</f>
        <v>-5895.09512</v>
      </c>
      <c r="J11" s="133">
        <f>J10-ОДДС!J24-ОДДС!J27</f>
        <v>-5196.6919199999993</v>
      </c>
      <c r="K11" s="133">
        <f>K10-ОДДС!K24-ОДДС!K27</f>
        <v>2765.7288034833064</v>
      </c>
      <c r="L11" s="133">
        <f>L10-ОДДС!L24-ОДДС!L27</f>
        <v>2520.7336667887434</v>
      </c>
      <c r="M11" s="133">
        <f>M10-ОДДС!M24-ОДДС!M27</f>
        <v>1773.6078166020834</v>
      </c>
      <c r="N11" s="133">
        <f>N10-ОДДС!N24-ОДДС!N27</f>
        <v>1380.5368618201264</v>
      </c>
      <c r="O11" s="133">
        <f>O10-ОДДС!O24-ОДДС!O27</f>
        <v>479.93859862453837</v>
      </c>
      <c r="P11" s="133">
        <f>P10-ОДДС!P24-ОДДС!P27</f>
        <v>4549.6480476464876</v>
      </c>
      <c r="Q11" s="133">
        <f>Q10-ОДДС!Q24-ОДДС!Q27</f>
        <v>-1088.1315797410953</v>
      </c>
      <c r="R11" s="133">
        <f>R10-ОДДС!R24-ОДДС!R27</f>
        <v>678.76937148746674</v>
      </c>
      <c r="S11" s="133">
        <f>S10-ОДДС!S24-ОДДС!S27</f>
        <v>1853.1596335175709</v>
      </c>
      <c r="T11" s="133">
        <f>T10-ОДДС!T24-ОДДС!T27</f>
        <v>1148.6179407875213</v>
      </c>
      <c r="U11" s="133">
        <f>U10-ОДДС!U24-ОДДС!U27</f>
        <v>4154.2512269403578</v>
      </c>
      <c r="V11" s="133">
        <f>V10-ОДДС!V24-ОДДС!V27</f>
        <v>5066.5612187471033</v>
      </c>
      <c r="W11" s="133">
        <f>W10-ОДДС!W24-ОДДС!W27</f>
        <v>6422.5218081672147</v>
      </c>
      <c r="X11" s="133">
        <f>X10-ОДДС!X24-ОДДС!X27</f>
        <v>5858.033773028862</v>
      </c>
      <c r="Y11" s="133">
        <f>Y10-ОДДС!Y24-ОДДС!Y27</f>
        <v>3983.6165150504185</v>
      </c>
      <c r="Z11" s="133">
        <f>Z10-ОДДС!Z24-ОДДС!Z27</f>
        <v>2955.518691516264</v>
      </c>
      <c r="AA11" s="133">
        <f>AA10-ОДДС!AA24-ОДДС!AA27</f>
        <v>1322.1189049661218</v>
      </c>
      <c r="AB11" s="133">
        <f>AB10-ОДДС!AB24-ОДДС!AB27</f>
        <v>6723.2366780203838</v>
      </c>
      <c r="AC11" s="133">
        <f>AC10-ОДДС!AC24-ОДДС!AC27</f>
        <v>2361.3812336050191</v>
      </c>
      <c r="AD11" s="133">
        <f>AD10-ОДДС!AD24-ОДДС!AD27</f>
        <v>1189.0252126794473</v>
      </c>
      <c r="AE11" s="133">
        <f>AE10-ОДДС!AE24-ОДДС!AE27</f>
        <v>2375.5446671628347</v>
      </c>
      <c r="AF11" s="133">
        <f>AF10-ОДДС!AF24-ОДДС!AF27</f>
        <v>1401.0852380976585</v>
      </c>
      <c r="AG11" s="133">
        <f>AG10-ОДДС!AG24-ОДДС!AG27</f>
        <v>4372.1633860301545</v>
      </c>
      <c r="AH11" s="133">
        <f>AH10-ОДДС!AH24-ОДДС!AH27</f>
        <v>5321.957687638017</v>
      </c>
      <c r="AI11" s="133">
        <f>AI10-ОДДС!AI24-ОДДС!AI27</f>
        <v>6730.8754151637741</v>
      </c>
      <c r="AJ11" s="133">
        <f>AJ10-ОДДС!AJ24-ОДДС!AJ27</f>
        <v>6144.7929955487325</v>
      </c>
      <c r="AK11" s="133">
        <f>AK10-ОДДС!AK24-ОДДС!AK27</f>
        <v>4195.2509881799961</v>
      </c>
      <c r="AL11" s="133">
        <f>AL10-ОДДС!AL24-ОДДС!AL27</f>
        <v>3124.7581262333174</v>
      </c>
      <c r="AM11" s="133">
        <f>AM10-ОДДС!AM24-ОДДС!AM27</f>
        <v>1426.9973355500138</v>
      </c>
      <c r="AN11" s="133">
        <f>AN10-ОДДС!AN24-ОДДС!AN27</f>
        <v>7042.89546725529</v>
      </c>
      <c r="AO11" s="133">
        <f>AO10-ОДДС!AO24-ОДДС!AO27</f>
        <v>2507.5724487921557</v>
      </c>
      <c r="AP11" s="133">
        <f>AP10-ОДДС!AP24-ОДДС!AP27</f>
        <v>1288.2476579584045</v>
      </c>
      <c r="AQ11" s="133">
        <f>AQ10-ОДДС!AQ24-ОДДС!AQ27</f>
        <v>2517.5102023499717</v>
      </c>
      <c r="AR11" s="133">
        <f>AR10-ОДДС!AR24-ОДДС!AR27</f>
        <v>1508.4795958510297</v>
      </c>
      <c r="AS11" s="133">
        <f>AS10-ОДДС!AS24-ОДДС!AS27</f>
        <v>4597.1433706296702</v>
      </c>
      <c r="AT11" s="133">
        <f>AT10-ОДДС!AT24-ОДДС!AT27</f>
        <v>5585.8764752306906</v>
      </c>
      <c r="AU11" s="133">
        <f>AU10-ОДДС!AU24-ОДДС!AU27</f>
        <v>7049.900645986324</v>
      </c>
      <c r="AV11" s="133">
        <f>AV10-ОДДС!AV24-ОДДС!AV27</f>
        <v>6441.314717315523</v>
      </c>
      <c r="AW11" s="133">
        <f>AW10-ОДДС!AW24-ОДДС!AW27</f>
        <v>4413.6357801808781</v>
      </c>
      <c r="AX11" s="133">
        <f>AX10-ОДДС!AX24-ОДДС!AX27</f>
        <v>3299.0837978851782</v>
      </c>
      <c r="AY11" s="133">
        <f>AY10-ОДДС!AY24-ОДДС!AY27</f>
        <v>1534.3415033033857</v>
      </c>
      <c r="AZ11" s="133">
        <f>AZ10-ОДДС!AZ24-ОДДС!AZ27</f>
        <v>7373.341267605716</v>
      </c>
      <c r="BA11" s="133">
        <f>BA10-ОДДС!BA24-ОДДС!BA27</f>
        <v>2658.8200453329023</v>
      </c>
      <c r="BB11" s="133">
        <f>BB10-ОДДС!BB24-ОДДС!BB27</f>
        <v>1389.4337421946429</v>
      </c>
      <c r="BC11" s="133">
        <f>BC10-ОДДС!BC24-ОДДС!BC27</f>
        <v>2664.8811088907178</v>
      </c>
      <c r="BD11" s="133">
        <f>BD10-ОДДС!BD24-ОДДС!BD27</f>
        <v>1616.106763060661</v>
      </c>
      <c r="BE11" s="133">
        <f>BE10-ОДДС!BE24-ОДДС!BE27</f>
        <v>4826.1782925592915</v>
      </c>
      <c r="BF11" s="133">
        <f>BF10-ОДДС!BF24-ОДДС!BF27</f>
        <v>5854.2313026731945</v>
      </c>
      <c r="BG11" s="133">
        <f>BG10-ОДДС!BG24-ОДДС!BG27</f>
        <v>7374.8532687878987</v>
      </c>
      <c r="BH11" s="133">
        <f>BH10-ОДДС!BH24-ОДДС!BH27</f>
        <v>6741.5188698991096</v>
      </c>
      <c r="BI11" s="133">
        <f>BI10-ОДДС!BI24-ОДДС!BI27</f>
        <v>4629.9675430079242</v>
      </c>
      <c r="BJ11" s="133">
        <f>BJ10-ОДДС!BJ24-ОДДС!BJ27</f>
        <v>3467.3996019492374</v>
      </c>
      <c r="BK11" s="133">
        <f>BK10-ОДДС!BK24-ОДДС!BK27</f>
        <v>1629.971030513017</v>
      </c>
      <c r="BL11" s="133">
        <f>BL10-ОДДС!BL24-ОДДС!BL27</f>
        <v>7699.5867355162864</v>
      </c>
      <c r="BM11" s="133">
        <f>BM10-ОДДС!BM24-ОДДС!BM27</f>
        <v>2792.8261344814009</v>
      </c>
      <c r="BN11" s="133">
        <f>BN10-ОДДС!BN24-ОДДС!BN27</f>
        <v>1470.9982189464558</v>
      </c>
      <c r="BO11" s="133">
        <f>BO10-ОДДС!BO24-ОДДС!BO27</f>
        <v>2794.980348039217</v>
      </c>
      <c r="BP11" s="133">
        <f>BP10-ОДДС!BP24-ОДДС!BP27</f>
        <v>1703.3632313048029</v>
      </c>
      <c r="BQ11" s="133">
        <f>BQ10-ОДДС!BQ24-ОДДС!BQ27</f>
        <v>5039.9910321122188</v>
      </c>
      <c r="BR11" s="133">
        <f>BR10-ОДДС!BR24-ОДДС!BR27</f>
        <v>6107.6378335595273</v>
      </c>
      <c r="BS11" s="133">
        <f>BS10-ОДДС!BS24-ОДДС!BS27</f>
        <v>7687.1991995587714</v>
      </c>
      <c r="BT11" s="133">
        <f>BT10-ОДДС!BT24-ОДДС!BT27</f>
        <v>7026.9642067543864</v>
      </c>
      <c r="BU11" s="133">
        <f>BU10-ОДДС!BU24-ОДДС!BU27</f>
        <v>4830.8688536275095</v>
      </c>
      <c r="BV11" s="133">
        <f>BV10-ОДДС!BV24-ОДДС!BV27</f>
        <v>3621.7162217664281</v>
      </c>
      <c r="BW11" s="133">
        <f>BW10-ОДДС!BW24-ОДДС!BW27</f>
        <v>1710.7085343127137</v>
      </c>
      <c r="BX11" s="133">
        <f>BX10-ОДДС!BX24-ОДДС!BX27</f>
        <v>8023.0268943560695</v>
      </c>
    </row>
    <row r="12" spans="1:76" x14ac:dyDescent="0.25">
      <c r="A12" s="187" t="s">
        <v>132</v>
      </c>
      <c r="B12" s="121">
        <f>B11</f>
        <v>-44168.602488000004</v>
      </c>
      <c r="C12" s="121">
        <f t="shared" ref="C12:R12" si="0">B12+C11</f>
        <v>-55550.412782400002</v>
      </c>
      <c r="D12" s="121">
        <f t="shared" si="0"/>
        <v>-70520.116548799997</v>
      </c>
      <c r="E12" s="121">
        <f t="shared" si="0"/>
        <v>-80264.976028799996</v>
      </c>
      <c r="F12" s="121">
        <f t="shared" si="0"/>
        <v>-99173.011748799996</v>
      </c>
      <c r="G12" s="121">
        <f t="shared" si="0"/>
        <v>-111731.51874879999</v>
      </c>
      <c r="H12" s="121">
        <f t="shared" si="0"/>
        <v>-121716.37822879999</v>
      </c>
      <c r="I12" s="121">
        <f t="shared" si="0"/>
        <v>-127611.47334879999</v>
      </c>
      <c r="J12" s="121">
        <f t="shared" si="0"/>
        <v>-132808.16526879999</v>
      </c>
      <c r="K12" s="121">
        <f t="shared" si="0"/>
        <v>-130042.43646531668</v>
      </c>
      <c r="L12" s="121">
        <f t="shared" si="0"/>
        <v>-127521.70279852794</v>
      </c>
      <c r="M12" s="121">
        <f t="shared" si="0"/>
        <v>-125748.09498192585</v>
      </c>
      <c r="N12" s="121">
        <f t="shared" si="0"/>
        <v>-124367.55812010572</v>
      </c>
      <c r="O12" s="121">
        <f t="shared" si="0"/>
        <v>-123887.61952148119</v>
      </c>
      <c r="P12" s="121">
        <f t="shared" si="0"/>
        <v>-119337.9714738347</v>
      </c>
      <c r="Q12" s="121">
        <f t="shared" si="0"/>
        <v>-120426.10305357579</v>
      </c>
      <c r="R12" s="121">
        <f t="shared" si="0"/>
        <v>-119747.33368208833</v>
      </c>
      <c r="S12" s="121">
        <f t="shared" ref="S12" si="1">R12+S11</f>
        <v>-117894.17404857076</v>
      </c>
      <c r="T12" s="121">
        <f t="shared" ref="T12" si="2">S12+T11</f>
        <v>-116745.55610778324</v>
      </c>
      <c r="U12" s="121">
        <f t="shared" ref="U12" si="3">T12+U11</f>
        <v>-112591.30488084289</v>
      </c>
      <c r="V12" s="121">
        <f t="shared" ref="V12" si="4">U12+V11</f>
        <v>-107524.74366209579</v>
      </c>
      <c r="W12" s="121">
        <f t="shared" ref="W12" si="5">V12+W11</f>
        <v>-101102.22185392857</v>
      </c>
      <c r="X12" s="121">
        <f t="shared" ref="X12" si="6">W12+X11</f>
        <v>-95244.188080899708</v>
      </c>
      <c r="Y12" s="121">
        <f t="shared" ref="Y12" si="7">X12+Y11</f>
        <v>-91260.571565849285</v>
      </c>
      <c r="Z12" s="121">
        <f t="shared" ref="Z12" si="8">Y12+Z11</f>
        <v>-88305.052874333021</v>
      </c>
      <c r="AA12" s="121">
        <f t="shared" ref="AA12" si="9">Z12+AA11</f>
        <v>-86982.933969366903</v>
      </c>
      <c r="AB12" s="121">
        <f t="shared" ref="AB12" si="10">AA12+AB11</f>
        <v>-80259.697291346514</v>
      </c>
      <c r="AC12" s="121">
        <f t="shared" ref="AC12" si="11">AB12+AC11</f>
        <v>-77898.316057741496</v>
      </c>
      <c r="AD12" s="121">
        <f t="shared" ref="AD12" si="12">AC12+AD11</f>
        <v>-76709.290845062045</v>
      </c>
      <c r="AE12" s="121">
        <f t="shared" ref="AE12" si="13">AD12+AE11</f>
        <v>-74333.746177899215</v>
      </c>
      <c r="AF12" s="121">
        <f t="shared" ref="AF12" si="14">AE12+AF11</f>
        <v>-72932.660939801557</v>
      </c>
      <c r="AG12" s="121">
        <f t="shared" ref="AG12" si="15">AF12+AG11</f>
        <v>-68560.497553771405</v>
      </c>
      <c r="AH12" s="121">
        <f t="shared" ref="AH12" si="16">AG12+AH11</f>
        <v>-63238.539866133389</v>
      </c>
      <c r="AI12" s="121">
        <f t="shared" ref="AI12" si="17">AH12+AI11</f>
        <v>-56507.664450969613</v>
      </c>
      <c r="AJ12" s="121">
        <f t="shared" ref="AJ12" si="18">AI12+AJ11</f>
        <v>-50362.871455420878</v>
      </c>
      <c r="AK12" s="121">
        <f t="shared" ref="AK12" si="19">AJ12+AK11</f>
        <v>-46167.620467240878</v>
      </c>
      <c r="AL12" s="121">
        <f t="shared" ref="AL12" si="20">AK12+AL11</f>
        <v>-43042.86234100756</v>
      </c>
      <c r="AM12" s="121">
        <f t="shared" ref="AM12" si="21">AL12+AM11</f>
        <v>-41615.865005457548</v>
      </c>
      <c r="AN12" s="121">
        <f t="shared" ref="AN12" si="22">AM12+AN11</f>
        <v>-34572.969538202262</v>
      </c>
      <c r="AO12" s="121">
        <f t="shared" ref="AO12" si="23">AN12+AO11</f>
        <v>-32065.397089410108</v>
      </c>
      <c r="AP12" s="121">
        <f t="shared" ref="AP12" si="24">AO12+AP11</f>
        <v>-30777.149431451704</v>
      </c>
      <c r="AQ12" s="121">
        <f t="shared" ref="AQ12" si="25">AP12+AQ11</f>
        <v>-28259.639229101733</v>
      </c>
      <c r="AR12" s="121">
        <f t="shared" ref="AR12" si="26">AQ12+AR11</f>
        <v>-26751.159633250703</v>
      </c>
      <c r="AS12" s="121">
        <f t="shared" ref="AS12" si="27">AR12+AS11</f>
        <v>-22154.016262621033</v>
      </c>
      <c r="AT12" s="121">
        <f t="shared" ref="AT12" si="28">AS12+AT11</f>
        <v>-16568.139787390341</v>
      </c>
      <c r="AU12" s="121">
        <f t="shared" ref="AU12" si="29">AT12+AU11</f>
        <v>-9518.2391414040176</v>
      </c>
      <c r="AV12" s="121">
        <f t="shared" ref="AV12" si="30">AU12+AV11</f>
        <v>-3076.9244240884946</v>
      </c>
      <c r="AW12" s="121">
        <f t="shared" ref="AW12" si="31">AV12+AW11</f>
        <v>1336.7113560923835</v>
      </c>
      <c r="AX12" s="121">
        <f t="shared" ref="AX12" si="32">AW12+AX11</f>
        <v>4635.7951539775622</v>
      </c>
      <c r="AY12" s="121">
        <f t="shared" ref="AY12" si="33">AX12+AY11</f>
        <v>6170.1366572809475</v>
      </c>
      <c r="AZ12" s="121">
        <f t="shared" ref="AZ12" si="34">AY12+AZ11</f>
        <v>13543.477924886663</v>
      </c>
      <c r="BA12" s="121">
        <f t="shared" ref="BA12" si="35">AZ12+BA11</f>
        <v>16202.297970219566</v>
      </c>
      <c r="BB12" s="121">
        <f t="shared" ref="BB12" si="36">BA12+BB11</f>
        <v>17591.73171241421</v>
      </c>
      <c r="BC12" s="121">
        <f t="shared" ref="BC12" si="37">BB12+BC11</f>
        <v>20256.612821304927</v>
      </c>
      <c r="BD12" s="121">
        <f t="shared" ref="BD12" si="38">BC12+BD11</f>
        <v>21872.719584365586</v>
      </c>
      <c r="BE12" s="121">
        <f t="shared" ref="BE12" si="39">BD12+BE11</f>
        <v>26698.897876924879</v>
      </c>
      <c r="BF12" s="121">
        <f t="shared" ref="BF12" si="40">BE12+BF11</f>
        <v>32553.129179598072</v>
      </c>
      <c r="BG12" s="121">
        <f t="shared" ref="BG12" si="41">BF12+BG11</f>
        <v>39927.98244838597</v>
      </c>
      <c r="BH12" s="121">
        <f t="shared" ref="BH12" si="42">BG12+BH11</f>
        <v>46669.501318285082</v>
      </c>
      <c r="BI12" s="121">
        <f t="shared" ref="BI12" si="43">BH12+BI11</f>
        <v>51299.468861293004</v>
      </c>
      <c r="BJ12" s="121">
        <f t="shared" ref="BJ12" si="44">BI12+BJ11</f>
        <v>54766.868463242245</v>
      </c>
      <c r="BK12" s="121">
        <f t="shared" ref="BK12" si="45">BJ12+BK11</f>
        <v>56396.839493755258</v>
      </c>
      <c r="BL12" s="121">
        <f t="shared" ref="BL12" si="46">BK12+BL11</f>
        <v>64096.426229271543</v>
      </c>
      <c r="BM12" s="121">
        <f t="shared" ref="BM12" si="47">BL12+BM11</f>
        <v>66889.252363752938</v>
      </c>
      <c r="BN12" s="121">
        <f t="shared" ref="BN12" si="48">BM12+BN11</f>
        <v>68360.250582699387</v>
      </c>
      <c r="BO12" s="121">
        <f t="shared" ref="BO12" si="49">BN12+BO11</f>
        <v>71155.230930738602</v>
      </c>
      <c r="BP12" s="121">
        <f t="shared" ref="BP12" si="50">BO12+BP11</f>
        <v>72858.594162043402</v>
      </c>
      <c r="BQ12" s="121">
        <f t="shared" ref="BQ12" si="51">BP12+BQ11</f>
        <v>77898.585194155618</v>
      </c>
      <c r="BR12" s="121">
        <f t="shared" ref="BR12" si="52">BQ12+BR11</f>
        <v>84006.223027715139</v>
      </c>
      <c r="BS12" s="121">
        <f t="shared" ref="BS12" si="53">BR12+BS11</f>
        <v>91693.422227273913</v>
      </c>
      <c r="BT12" s="121">
        <f t="shared" ref="BT12" si="54">BS12+BT11</f>
        <v>98720.386434028303</v>
      </c>
      <c r="BU12" s="121">
        <f t="shared" ref="BU12" si="55">BT12+BU11</f>
        <v>103551.25528765582</v>
      </c>
      <c r="BV12" s="121">
        <f t="shared" ref="BV12" si="56">BU12+BV11</f>
        <v>107172.97150942225</v>
      </c>
      <c r="BW12" s="121">
        <f t="shared" ref="BW12:BX12" si="57">BV12+BW11</f>
        <v>108883.68004373496</v>
      </c>
      <c r="BX12" s="121">
        <f t="shared" si="57"/>
        <v>116906.70693809103</v>
      </c>
    </row>
    <row r="13" spans="1:76" x14ac:dyDescent="0.25">
      <c r="A13" s="90" t="s">
        <v>133</v>
      </c>
      <c r="B13" s="405">
        <f>1/(1+$B$25)^(1/12)</f>
        <v>0.9882487531525338</v>
      </c>
      <c r="C13" s="405">
        <f>1/(1+$B$25)^(1/12)</f>
        <v>0.9882487531525338</v>
      </c>
      <c r="D13" s="405">
        <f t="shared" ref="D13:BO13" si="58">1/(1+$B$25)^(1/12)</f>
        <v>0.9882487531525338</v>
      </c>
      <c r="E13" s="405">
        <f t="shared" si="58"/>
        <v>0.9882487531525338</v>
      </c>
      <c r="F13" s="405">
        <f t="shared" si="58"/>
        <v>0.9882487531525338</v>
      </c>
      <c r="G13" s="405">
        <f t="shared" si="58"/>
        <v>0.9882487531525338</v>
      </c>
      <c r="H13" s="405">
        <f t="shared" si="58"/>
        <v>0.9882487531525338</v>
      </c>
      <c r="I13" s="405">
        <f t="shared" si="58"/>
        <v>0.9882487531525338</v>
      </c>
      <c r="J13" s="405">
        <f t="shared" si="58"/>
        <v>0.9882487531525338</v>
      </c>
      <c r="K13" s="405">
        <f t="shared" si="58"/>
        <v>0.9882487531525338</v>
      </c>
      <c r="L13" s="405">
        <f t="shared" si="58"/>
        <v>0.9882487531525338</v>
      </c>
      <c r="M13" s="405">
        <f t="shared" si="58"/>
        <v>0.9882487531525338</v>
      </c>
      <c r="N13" s="405">
        <f t="shared" si="58"/>
        <v>0.9882487531525338</v>
      </c>
      <c r="O13" s="405">
        <f t="shared" si="58"/>
        <v>0.9882487531525338</v>
      </c>
      <c r="P13" s="405">
        <f t="shared" si="58"/>
        <v>0.9882487531525338</v>
      </c>
      <c r="Q13" s="405">
        <f t="shared" si="58"/>
        <v>0.9882487531525338</v>
      </c>
      <c r="R13" s="405">
        <f t="shared" si="58"/>
        <v>0.9882487531525338</v>
      </c>
      <c r="S13" s="405">
        <f t="shared" si="58"/>
        <v>0.9882487531525338</v>
      </c>
      <c r="T13" s="405">
        <f t="shared" si="58"/>
        <v>0.9882487531525338</v>
      </c>
      <c r="U13" s="405">
        <f t="shared" si="58"/>
        <v>0.9882487531525338</v>
      </c>
      <c r="V13" s="405">
        <f t="shared" si="58"/>
        <v>0.9882487531525338</v>
      </c>
      <c r="W13" s="405">
        <f t="shared" si="58"/>
        <v>0.9882487531525338</v>
      </c>
      <c r="X13" s="405">
        <f t="shared" si="58"/>
        <v>0.9882487531525338</v>
      </c>
      <c r="Y13" s="405">
        <f t="shared" si="58"/>
        <v>0.9882487531525338</v>
      </c>
      <c r="Z13" s="405">
        <f t="shared" si="58"/>
        <v>0.9882487531525338</v>
      </c>
      <c r="AA13" s="405">
        <f t="shared" si="58"/>
        <v>0.9882487531525338</v>
      </c>
      <c r="AB13" s="405">
        <f t="shared" si="58"/>
        <v>0.9882487531525338</v>
      </c>
      <c r="AC13" s="405">
        <f t="shared" si="58"/>
        <v>0.9882487531525338</v>
      </c>
      <c r="AD13" s="405">
        <f t="shared" si="58"/>
        <v>0.9882487531525338</v>
      </c>
      <c r="AE13" s="405">
        <f t="shared" si="58"/>
        <v>0.9882487531525338</v>
      </c>
      <c r="AF13" s="405">
        <f t="shared" si="58"/>
        <v>0.9882487531525338</v>
      </c>
      <c r="AG13" s="405">
        <f t="shared" si="58"/>
        <v>0.9882487531525338</v>
      </c>
      <c r="AH13" s="405">
        <f t="shared" si="58"/>
        <v>0.9882487531525338</v>
      </c>
      <c r="AI13" s="405">
        <f t="shared" si="58"/>
        <v>0.9882487531525338</v>
      </c>
      <c r="AJ13" s="405">
        <f t="shared" si="58"/>
        <v>0.9882487531525338</v>
      </c>
      <c r="AK13" s="405">
        <f t="shared" si="58"/>
        <v>0.9882487531525338</v>
      </c>
      <c r="AL13" s="405">
        <f t="shared" si="58"/>
        <v>0.9882487531525338</v>
      </c>
      <c r="AM13" s="405">
        <f t="shared" si="58"/>
        <v>0.9882487531525338</v>
      </c>
      <c r="AN13" s="405">
        <f t="shared" si="58"/>
        <v>0.9882487531525338</v>
      </c>
      <c r="AO13" s="405">
        <f t="shared" si="58"/>
        <v>0.9882487531525338</v>
      </c>
      <c r="AP13" s="405">
        <f t="shared" si="58"/>
        <v>0.9882487531525338</v>
      </c>
      <c r="AQ13" s="405">
        <f t="shared" si="58"/>
        <v>0.9882487531525338</v>
      </c>
      <c r="AR13" s="405">
        <f t="shared" si="58"/>
        <v>0.9882487531525338</v>
      </c>
      <c r="AS13" s="405">
        <f t="shared" si="58"/>
        <v>0.9882487531525338</v>
      </c>
      <c r="AT13" s="405">
        <f t="shared" si="58"/>
        <v>0.9882487531525338</v>
      </c>
      <c r="AU13" s="405">
        <f t="shared" si="58"/>
        <v>0.9882487531525338</v>
      </c>
      <c r="AV13" s="405">
        <f t="shared" si="58"/>
        <v>0.9882487531525338</v>
      </c>
      <c r="AW13" s="405">
        <f t="shared" si="58"/>
        <v>0.9882487531525338</v>
      </c>
      <c r="AX13" s="405">
        <f t="shared" si="58"/>
        <v>0.9882487531525338</v>
      </c>
      <c r="AY13" s="405">
        <f t="shared" si="58"/>
        <v>0.9882487531525338</v>
      </c>
      <c r="AZ13" s="405">
        <f t="shared" si="58"/>
        <v>0.9882487531525338</v>
      </c>
      <c r="BA13" s="405">
        <f t="shared" si="58"/>
        <v>0.9882487531525338</v>
      </c>
      <c r="BB13" s="405">
        <f t="shared" si="58"/>
        <v>0.9882487531525338</v>
      </c>
      <c r="BC13" s="405">
        <f t="shared" si="58"/>
        <v>0.9882487531525338</v>
      </c>
      <c r="BD13" s="405">
        <f t="shared" si="58"/>
        <v>0.9882487531525338</v>
      </c>
      <c r="BE13" s="405">
        <f t="shared" si="58"/>
        <v>0.9882487531525338</v>
      </c>
      <c r="BF13" s="405">
        <f t="shared" si="58"/>
        <v>0.9882487531525338</v>
      </c>
      <c r="BG13" s="405">
        <f t="shared" si="58"/>
        <v>0.9882487531525338</v>
      </c>
      <c r="BH13" s="405">
        <f t="shared" si="58"/>
        <v>0.9882487531525338</v>
      </c>
      <c r="BI13" s="405">
        <f t="shared" si="58"/>
        <v>0.9882487531525338</v>
      </c>
      <c r="BJ13" s="405">
        <f t="shared" si="58"/>
        <v>0.9882487531525338</v>
      </c>
      <c r="BK13" s="405">
        <f t="shared" si="58"/>
        <v>0.9882487531525338</v>
      </c>
      <c r="BL13" s="405">
        <f t="shared" si="58"/>
        <v>0.9882487531525338</v>
      </c>
      <c r="BM13" s="405">
        <f t="shared" si="58"/>
        <v>0.9882487531525338</v>
      </c>
      <c r="BN13" s="405">
        <f t="shared" si="58"/>
        <v>0.9882487531525338</v>
      </c>
      <c r="BO13" s="405">
        <f t="shared" si="58"/>
        <v>0.9882487531525338</v>
      </c>
      <c r="BP13" s="405">
        <f t="shared" ref="BP13:BX13" si="59">1/(1+$B$25)^(1/12)</f>
        <v>0.9882487531525338</v>
      </c>
      <c r="BQ13" s="405">
        <f t="shared" si="59"/>
        <v>0.9882487531525338</v>
      </c>
      <c r="BR13" s="405">
        <f t="shared" si="59"/>
        <v>0.9882487531525338</v>
      </c>
      <c r="BS13" s="405">
        <f t="shared" si="59"/>
        <v>0.9882487531525338</v>
      </c>
      <c r="BT13" s="405">
        <f t="shared" si="59"/>
        <v>0.9882487531525338</v>
      </c>
      <c r="BU13" s="405">
        <f t="shared" si="59"/>
        <v>0.9882487531525338</v>
      </c>
      <c r="BV13" s="405">
        <f t="shared" si="59"/>
        <v>0.9882487531525338</v>
      </c>
      <c r="BW13" s="405">
        <f t="shared" si="59"/>
        <v>0.9882487531525338</v>
      </c>
      <c r="BX13" s="405">
        <f t="shared" si="59"/>
        <v>0.9882487531525338</v>
      </c>
    </row>
    <row r="14" spans="1:76" x14ac:dyDescent="0.25">
      <c r="A14" s="90" t="s">
        <v>131</v>
      </c>
      <c r="B14" s="405">
        <f>B13^0</f>
        <v>1</v>
      </c>
      <c r="C14" s="405">
        <f>PRODUCT($B13:B$13)*C13^0.5</f>
        <v>0.98242501602623755</v>
      </c>
      <c r="D14" s="405">
        <f>PRODUCT($B13:C$13)*D13^0.5</f>
        <v>0.97088029715378732</v>
      </c>
      <c r="E14" s="405">
        <f>PRODUCT($B13:D$13)*E13^0.5</f>
        <v>0.9594712431225918</v>
      </c>
      <c r="F14" s="405">
        <f>PRODUCT($B13:E$13)*F13^0.5</f>
        <v>0.94819625970161292</v>
      </c>
      <c r="G14" s="405">
        <f>PRODUCT($B13:F$13)*G13^0.5</f>
        <v>0.93705377139401513</v>
      </c>
      <c r="H14" s="405">
        <f>PRODUCT($B13:G$13)*H13^0.5</f>
        <v>0.92604222121701496</v>
      </c>
      <c r="I14" s="405">
        <f>PRODUCT($B13:H$13)*I13^0.5</f>
        <v>0.91516007048431791</v>
      </c>
      <c r="J14" s="405">
        <f>PRODUCT($B13:I$13)*J13^0.5</f>
        <v>0.90440579859111214</v>
      </c>
      <c r="K14" s="405">
        <f>PRODUCT($B13:J$13)*K13^0.5</f>
        <v>0.8937779028015882</v>
      </c>
      <c r="L14" s="405">
        <f>PRODUCT($B13:K$13)*L13^0.5</f>
        <v>0.88327489803895609</v>
      </c>
      <c r="M14" s="405">
        <f>PRODUCT($B13:L$13)*M13^0.5</f>
        <v>0.87289531667792974</v>
      </c>
      <c r="N14" s="405">
        <f>PRODUCT($B13:M$13)*N13^0.5</f>
        <v>0.86263770833965026</v>
      </c>
      <c r="O14" s="405">
        <f>PRODUCT($B13:N$13)*O13^0.5</f>
        <v>0.85250063968901857</v>
      </c>
      <c r="P14" s="405">
        <f>PRODUCT($B13:O$13)*P13^0.5</f>
        <v>0.84248269423441002</v>
      </c>
      <c r="Q14" s="405">
        <f>PRODUCT($B13:P$13)*Q13^0.5</f>
        <v>0.83258247212974301</v>
      </c>
      <c r="R14" s="405">
        <f>PRODUCT($B13:Q$13)*R13^0.5</f>
        <v>0.82279858997887279</v>
      </c>
      <c r="S14" s="405">
        <f>PRODUCT($B13:R$13)*S13^0.5</f>
        <v>0.81312968064228397</v>
      </c>
      <c r="T14" s="405">
        <f>PRODUCT($B13:S$13)*T13^0.5</f>
        <v>0.80357439304605505</v>
      </c>
      <c r="U14" s="405">
        <f>PRODUCT($B13:T$13)*U13^0.5</f>
        <v>0.79413139199306815</v>
      </c>
      <c r="V14" s="405">
        <f>PRODUCT($B13:U$13)*V13^0.5</f>
        <v>0.78479935797643563</v>
      </c>
      <c r="W14" s="405">
        <f>PRODUCT($B13:V$13)*W13^0.5</f>
        <v>0.77557698699512145</v>
      </c>
      <c r="X14" s="405">
        <f>PRODUCT($B13:W$13)*X13^0.5</f>
        <v>0.76646299037172771</v>
      </c>
      <c r="Y14" s="405">
        <f>PRODUCT($B13:X$13)*Y13^0.5</f>
        <v>0.75745609457242247</v>
      </c>
      <c r="Z14" s="405">
        <f>PRODUCT($B13:Y$13)*Z13^0.5</f>
        <v>0.74855504102898418</v>
      </c>
      <c r="AA14" s="405">
        <f>PRODUCT($B13:Z$13)*AA13^0.5</f>
        <v>0.73975858596293753</v>
      </c>
      <c r="AB14" s="405">
        <f>PRODUCT($B13:AA$13)*AB13^0.5</f>
        <v>0.73106550021175443</v>
      </c>
      <c r="AC14" s="405">
        <f>PRODUCT($B13:AB$13)*AC13^0.5</f>
        <v>0.72247456905709972</v>
      </c>
      <c r="AD14" s="405">
        <f>PRODUCT($B13:AC$13)*AD13^0.5</f>
        <v>0.71398459205509301</v>
      </c>
      <c r="AE14" s="405">
        <f>PRODUCT($B13:AD$13)*AE13^0.5</f>
        <v>0.70559438286856624</v>
      </c>
      <c r="AF14" s="405">
        <f>PRODUCT($B13:AE$13)*AF13^0.5</f>
        <v>0.69730276910129219</v>
      </c>
      <c r="AG14" s="405">
        <f>PRODUCT($B13:AF$13)*AG13^0.5</f>
        <v>0.6891085921341612</v>
      </c>
      <c r="AH14" s="405">
        <f>PRODUCT($B13:AG$13)*AH13^0.5</f>
        <v>0.6810107069632827</v>
      </c>
      <c r="AI14" s="405">
        <f>PRODUCT($B13:AH$13)*AI13^0.5</f>
        <v>0.67300798203998979</v>
      </c>
      <c r="AJ14" s="405">
        <f>PRODUCT($B13:AI$13)*AJ13^0.5</f>
        <v>0.6650992991127227</v>
      </c>
      <c r="AK14" s="405">
        <f>PRODUCT($B13:AJ$13)*AK13^0.5</f>
        <v>0.65728355307077235</v>
      </c>
      <c r="AL14" s="405">
        <f>PRODUCT($B13:AK$13)*AL13^0.5</f>
        <v>0.64955965178985797</v>
      </c>
      <c r="AM14" s="405">
        <f>PRODUCT($B13:AL$13)*AM13^0.5</f>
        <v>0.64192651597952122</v>
      </c>
      <c r="AN14" s="405">
        <f>PRODUCT($B13:AM$13)*AN13^0.5</f>
        <v>0.63438307903231195</v>
      </c>
      <c r="AO14" s="405">
        <f>PRODUCT($B13:AN$13)*AO13^0.5</f>
        <v>0.62692828687474766</v>
      </c>
      <c r="AP14" s="405">
        <f>PRODUCT($B13:AO$13)*AP13^0.5</f>
        <v>0.61956109782002344</v>
      </c>
      <c r="AQ14" s="405">
        <f>PRODUCT($B13:AP$13)*AQ13^0.5</f>
        <v>0.61228048242245314</v>
      </c>
      <c r="AR14" s="405">
        <f>PRODUCT($B13:AQ$13)*AR13^0.5</f>
        <v>0.60508542333362125</v>
      </c>
      <c r="AS14" s="405">
        <f>PRODUCT($B13:AR$13)*AS13^0.5</f>
        <v>0.59797491516022427</v>
      </c>
      <c r="AT14" s="405">
        <f>PRODUCT($B13:AS$13)*AT13^0.5</f>
        <v>0.59094796432358387</v>
      </c>
      <c r="AU14" s="405">
        <f>PRODUCT($B13:AT$13)*AU13^0.5</f>
        <v>0.58400358892080984</v>
      </c>
      <c r="AV14" s="405">
        <f>PRODUCT($B13:AU$13)*AV13^0.5</f>
        <v>0.57714081858759514</v>
      </c>
      <c r="AW14" s="405">
        <f>PRODUCT($B13:AV$13)*AW13^0.5</f>
        <v>0.57035869436262365</v>
      </c>
      <c r="AX14" s="405">
        <f>PRODUCT($B13:AW$13)*AX13^0.5</f>
        <v>0.56365626855356998</v>
      </c>
      <c r="AY14" s="405">
        <f>PRODUCT($B13:AX$13)*AY13^0.5</f>
        <v>0.5570326046046753</v>
      </c>
      <c r="AZ14" s="405">
        <f>PRODUCT($B13:AY$13)*AZ13^0.5</f>
        <v>0.55048677696587867</v>
      </c>
      <c r="BA14" s="405">
        <f>PRODUCT($B13:AZ$13)*BA13^0.5</f>
        <v>0.54401787096348653</v>
      </c>
      <c r="BB14" s="405">
        <f>PRODUCT($B13:BA$13)*BB13^0.5</f>
        <v>0.53762498267236158</v>
      </c>
      <c r="BC14" s="405">
        <f>PRODUCT($B13:BB$13)*BC13^0.5</f>
        <v>0.53130721878961396</v>
      </c>
      <c r="BD14" s="405">
        <f>PRODUCT($B13:BC$13)*BD13^0.5</f>
        <v>0.52506369650977647</v>
      </c>
      <c r="BE14" s="405">
        <f>PRODUCT($B13:BD$13)*BE13^0.5</f>
        <v>0.51889354340144711</v>
      </c>
      <c r="BF14" s="405">
        <f>PRODUCT($B13:BE$13)*BF13^0.5</f>
        <v>0.51279589728538022</v>
      </c>
      <c r="BG14" s="405">
        <f>PRODUCT($B13:BF$13)*BG13^0.5</f>
        <v>0.50676990611401174</v>
      </c>
      <c r="BH14" s="405">
        <f>PRODUCT($B13:BG$13)*BH13^0.5</f>
        <v>0.50081472785239867</v>
      </c>
      <c r="BI14" s="405">
        <f>PRODUCT($B13:BH$13)*BI13^0.5</f>
        <v>0.49492953036055853</v>
      </c>
      <c r="BJ14" s="405">
        <f>PRODUCT($B13:BI$13)*BJ13^0.5</f>
        <v>0.48911349127719111</v>
      </c>
      <c r="BK14" s="405">
        <f>PRODUCT($B13:BJ$13)*BK13^0.5</f>
        <v>0.48336579790476686</v>
      </c>
      <c r="BL14" s="405">
        <f>PRODUCT($B13:BK$13)*BL13^0.5</f>
        <v>0.4776856470959655</v>
      </c>
      <c r="BM14" s="405">
        <f>PRODUCT($B13:BL$13)*BM13^0.5</f>
        <v>0.47207224514144919</v>
      </c>
      <c r="BN14" s="405">
        <f>PRODUCT($B13:BM$13)*BN13^0.5</f>
        <v>0.46652480765895438</v>
      </c>
      <c r="BO14" s="405">
        <f>PRODUCT($B13:BN$13)*BO13^0.5</f>
        <v>0.46104255948368733</v>
      </c>
      <c r="BP14" s="405">
        <f>PRODUCT($B13:BO$13)*BP13^0.5</f>
        <v>0.45562473456000691</v>
      </c>
      <c r="BQ14" s="405">
        <f>PRODUCT($B13:BP$13)*BQ13^0.5</f>
        <v>0.45027057583438101</v>
      </c>
      <c r="BR14" s="405">
        <f>PRODUCT($B13:BQ$13)*BR13^0.5</f>
        <v>0.44497933514960047</v>
      </c>
      <c r="BS14" s="405">
        <f>PRODUCT($B13:BR$13)*BS13^0.5</f>
        <v>0.43975027314023613</v>
      </c>
      <c r="BT14" s="405">
        <f>PRODUCT($B13:BS$13)*BT13^0.5</f>
        <v>0.43458265912932453</v>
      </c>
      <c r="BU14" s="405">
        <f>PRODUCT($B13:BT$13)*BU13^0.5</f>
        <v>0.42947577102626761</v>
      </c>
      <c r="BV14" s="405">
        <f>PRODUCT($B13:BU$13)*BV13^0.5</f>
        <v>0.42442889522593208</v>
      </c>
      <c r="BW14" s="405">
        <f>PRODUCT($B13:BV$13)*BW13^0.5</f>
        <v>0.41944132650893473</v>
      </c>
      <c r="BX14" s="405">
        <f>PRODUCT($B13:BW$13)*BX13^0.5</f>
        <v>0.41451236794309959</v>
      </c>
    </row>
    <row r="15" spans="1:76" x14ac:dyDescent="0.25">
      <c r="A15" s="90" t="s">
        <v>358</v>
      </c>
      <c r="B15" s="186">
        <f>B11*B14</f>
        <v>-44168.602488000004</v>
      </c>
      <c r="C15" s="186">
        <f>C11*C14</f>
        <v>-11181.775160883515</v>
      </c>
      <c r="D15" s="186">
        <f>D11*D14</f>
        <v>-14533.790441026602</v>
      </c>
      <c r="E15" s="186">
        <f>E11*E14</f>
        <v>-9349.9124393305719</v>
      </c>
      <c r="F15" s="186">
        <f t="shared" ref="F15:R15" si="60">F11*F14</f>
        <v>-17928.528748008495</v>
      </c>
      <c r="G15" s="186">
        <f t="shared" si="60"/>
        <v>-11767.996347428139</v>
      </c>
      <c r="H15" s="186">
        <f t="shared" si="60"/>
        <v>-9246.4014513989678</v>
      </c>
      <c r="I15" s="186">
        <f t="shared" si="60"/>
        <v>-5394.9556655309589</v>
      </c>
      <c r="J15" s="186">
        <f t="shared" si="60"/>
        <v>-4699.9183059395791</v>
      </c>
      <c r="K15" s="186">
        <f t="shared" si="60"/>
        <v>2471.9472896952552</v>
      </c>
      <c r="L15" s="186">
        <f t="shared" si="60"/>
        <v>2226.5007725161913</v>
      </c>
      <c r="M15" s="186">
        <f t="shared" si="60"/>
        <v>1548.1739567353272</v>
      </c>
      <c r="N15" s="186">
        <f t="shared" si="60"/>
        <v>1190.9031547589263</v>
      </c>
      <c r="O15" s="186">
        <f t="shared" si="60"/>
        <v>409.14796233887012</v>
      </c>
      <c r="P15" s="186">
        <f t="shared" si="60"/>
        <v>3832.9997449995362</v>
      </c>
      <c r="Q15" s="186">
        <f t="shared" si="60"/>
        <v>-905.95928066328372</v>
      </c>
      <c r="R15" s="186">
        <f t="shared" si="60"/>
        <v>558.49048178073338</v>
      </c>
      <c r="S15" s="186">
        <f t="shared" ref="S15:BI15" si="61">S11*S14</f>
        <v>1506.8591009813144</v>
      </c>
      <c r="T15" s="186">
        <f t="shared" si="61"/>
        <v>922.999964610142</v>
      </c>
      <c r="U15" s="186">
        <f t="shared" si="61"/>
        <v>3299.0213095390577</v>
      </c>
      <c r="V15" s="186">
        <f t="shared" si="61"/>
        <v>3976.233991621034</v>
      </c>
      <c r="W15" s="186">
        <f t="shared" si="61"/>
        <v>4981.1601128887878</v>
      </c>
      <c r="X15" s="186">
        <f t="shared" si="61"/>
        <v>4489.9660833742764</v>
      </c>
      <c r="Y15" s="186">
        <f t="shared" si="61"/>
        <v>3017.4146077642936</v>
      </c>
      <c r="Z15" s="186">
        <f t="shared" si="61"/>
        <v>2212.3684153898866</v>
      </c>
      <c r="AA15" s="186">
        <f t="shared" si="61"/>
        <v>978.04881161260562</v>
      </c>
      <c r="AB15" s="186">
        <f t="shared" si="61"/>
        <v>4915.1263850589858</v>
      </c>
      <c r="AC15" s="186">
        <f t="shared" si="61"/>
        <v>1706.0378891283087</v>
      </c>
      <c r="AD15" s="186">
        <f t="shared" si="61"/>
        <v>848.94568141815546</v>
      </c>
      <c r="AE15" s="186">
        <f t="shared" si="61"/>
        <v>1676.1709734034739</v>
      </c>
      <c r="AF15" s="186">
        <f t="shared" si="61"/>
        <v>976.98061627244056</v>
      </c>
      <c r="AG15" s="186">
        <f t="shared" si="61"/>
        <v>3012.8953555277667</v>
      </c>
      <c r="AH15" s="186">
        <f t="shared" si="61"/>
        <v>3624.310167287043</v>
      </c>
      <c r="AI15" s="186">
        <f t="shared" si="61"/>
        <v>4529.9328805219502</v>
      </c>
      <c r="AJ15" s="186">
        <f t="shared" si="61"/>
        <v>4086.8975145322297</v>
      </c>
      <c r="AK15" s="186">
        <f t="shared" si="61"/>
        <v>2757.4694755346168</v>
      </c>
      <c r="AL15" s="186">
        <f t="shared" si="61"/>
        <v>2029.7168004036428</v>
      </c>
      <c r="AM15" s="186">
        <f t="shared" si="61"/>
        <v>916.0274279216801</v>
      </c>
      <c r="AN15" s="186">
        <f t="shared" si="61"/>
        <v>4467.8937118201238</v>
      </c>
      <c r="AO15" s="186">
        <f t="shared" si="61"/>
        <v>1572.0680995355822</v>
      </c>
      <c r="AP15" s="186">
        <f t="shared" si="61"/>
        <v>798.14813322878319</v>
      </c>
      <c r="AQ15" s="186">
        <f t="shared" si="61"/>
        <v>1541.4223611982884</v>
      </c>
      <c r="AR15" s="186">
        <f t="shared" si="61"/>
        <v>912.7590148456502</v>
      </c>
      <c r="AS15" s="186">
        <f t="shared" si="61"/>
        <v>2748.9764170316644</v>
      </c>
      <c r="AT15" s="186">
        <f t="shared" si="61"/>
        <v>3300.9623320005726</v>
      </c>
      <c r="AU15" s="186">
        <f t="shared" si="61"/>
        <v>4117.1672787911484</v>
      </c>
      <c r="AV15" s="186">
        <f t="shared" si="61"/>
        <v>3717.5456487318052</v>
      </c>
      <c r="AW15" s="186">
        <f t="shared" si="61"/>
        <v>2517.3555409761257</v>
      </c>
      <c r="AX15" s="186">
        <f t="shared" si="61"/>
        <v>1859.5492631614995</v>
      </c>
      <c r="AY15" s="186">
        <f t="shared" si="61"/>
        <v>854.67824393813794</v>
      </c>
      <c r="AZ15" s="186">
        <f t="shared" si="61"/>
        <v>4058.9268698737769</v>
      </c>
      <c r="BA15" s="186">
        <f t="shared" si="61"/>
        <v>1446.4456203370462</v>
      </c>
      <c r="BB15" s="186">
        <f t="shared" si="61"/>
        <v>746.9942915717894</v>
      </c>
      <c r="BC15" s="186">
        <f t="shared" si="61"/>
        <v>1415.8705703697096</v>
      </c>
      <c r="BD15" s="186">
        <f t="shared" si="61"/>
        <v>848.55899096708015</v>
      </c>
      <c r="BE15" s="186">
        <f t="shared" si="61"/>
        <v>2504.2727553132368</v>
      </c>
      <c r="BF15" s="186">
        <f t="shared" si="61"/>
        <v>3002.025793770461</v>
      </c>
      <c r="BG15" s="186">
        <f t="shared" si="61"/>
        <v>3737.3536986282561</v>
      </c>
      <c r="BH15" s="186">
        <f t="shared" si="61"/>
        <v>3376.2519381403326</v>
      </c>
      <c r="BI15" s="186">
        <f t="shared" si="61"/>
        <v>2291.5076616455408</v>
      </c>
      <c r="BJ15" s="186">
        <f t="shared" ref="BJ15:BX15" si="62">BJ11*BJ14</f>
        <v>1695.9519249625343</v>
      </c>
      <c r="BK15" s="186">
        <f t="shared" si="62"/>
        <v>787.87224772557954</v>
      </c>
      <c r="BL15" s="186">
        <f t="shared" si="62"/>
        <v>3677.9820721266096</v>
      </c>
      <c r="BM15" s="186">
        <f t="shared" si="62"/>
        <v>1318.4157035943499</v>
      </c>
      <c r="BN15" s="186">
        <f t="shared" si="62"/>
        <v>686.25716116065973</v>
      </c>
      <c r="BO15" s="186">
        <f t="shared" si="62"/>
        <v>1288.6048933666077</v>
      </c>
      <c r="BP15" s="186">
        <f t="shared" si="62"/>
        <v>776.09442012252646</v>
      </c>
      <c r="BQ15" s="186">
        <f t="shared" si="62"/>
        <v>2269.359664229285</v>
      </c>
      <c r="BR15" s="186">
        <f t="shared" si="62"/>
        <v>2717.7726225118645</v>
      </c>
      <c r="BS15" s="186">
        <f t="shared" si="62"/>
        <v>3380.4479476893744</v>
      </c>
      <c r="BT15" s="186">
        <f t="shared" si="62"/>
        <v>3053.796790577906</v>
      </c>
      <c r="BU15" s="186">
        <f t="shared" si="62"/>
        <v>2074.7411256384562</v>
      </c>
      <c r="BV15" s="186">
        <f t="shared" si="62"/>
        <v>1537.1610148261618</v>
      </c>
      <c r="BW15" s="186">
        <f t="shared" si="62"/>
        <v>717.54185690228007</v>
      </c>
      <c r="BX15" s="186">
        <f t="shared" si="62"/>
        <v>3325.6438760507067</v>
      </c>
    </row>
    <row r="16" spans="1:76" s="18" customFormat="1" x14ac:dyDescent="0.25">
      <c r="A16" s="187" t="s">
        <v>134</v>
      </c>
      <c r="B16" s="188">
        <f>B15</f>
        <v>-44168.602488000004</v>
      </c>
      <c r="C16" s="188">
        <f t="shared" ref="C16" si="63">B16+C15</f>
        <v>-55350.377648883521</v>
      </c>
      <c r="D16" s="188">
        <f t="shared" ref="D16:R16" si="64">C16+D15</f>
        <v>-69884.168089910119</v>
      </c>
      <c r="E16" s="188">
        <f t="shared" si="64"/>
        <v>-79234.080529240688</v>
      </c>
      <c r="F16" s="188">
        <f t="shared" si="64"/>
        <v>-97162.609277249183</v>
      </c>
      <c r="G16" s="188">
        <f t="shared" si="64"/>
        <v>-108930.60562467732</v>
      </c>
      <c r="H16" s="188">
        <f t="shared" si="64"/>
        <v>-118177.00707607629</v>
      </c>
      <c r="I16" s="188">
        <f t="shared" si="64"/>
        <v>-123571.96274160725</v>
      </c>
      <c r="J16" s="188">
        <f t="shared" si="64"/>
        <v>-128271.88104754682</v>
      </c>
      <c r="K16" s="188">
        <f t="shared" si="64"/>
        <v>-125799.93375785157</v>
      </c>
      <c r="L16" s="188">
        <f t="shared" si="64"/>
        <v>-123573.43298533538</v>
      </c>
      <c r="M16" s="188">
        <f t="shared" si="64"/>
        <v>-122025.25902860006</v>
      </c>
      <c r="N16" s="188">
        <f t="shared" si="64"/>
        <v>-120834.35587384114</v>
      </c>
      <c r="O16" s="188">
        <f t="shared" si="64"/>
        <v>-120425.20791150226</v>
      </c>
      <c r="P16" s="188">
        <f t="shared" si="64"/>
        <v>-116592.20816650272</v>
      </c>
      <c r="Q16" s="188">
        <f t="shared" si="64"/>
        <v>-117498.16744716601</v>
      </c>
      <c r="R16" s="188">
        <f t="shared" si="64"/>
        <v>-116939.67696538527</v>
      </c>
      <c r="S16" s="188">
        <f t="shared" ref="S16" si="65">R16+S15</f>
        <v>-115432.81786440396</v>
      </c>
      <c r="T16" s="188">
        <f t="shared" ref="T16" si="66">S16+T15</f>
        <v>-114509.81789979382</v>
      </c>
      <c r="U16" s="188">
        <f t="shared" ref="U16" si="67">T16+U15</f>
        <v>-111210.79659025476</v>
      </c>
      <c r="V16" s="188">
        <f t="shared" ref="V16" si="68">U16+V15</f>
        <v>-107234.56259863373</v>
      </c>
      <c r="W16" s="188">
        <f t="shared" ref="W16" si="69">V16+W15</f>
        <v>-102253.40248574494</v>
      </c>
      <c r="X16" s="188">
        <f t="shared" ref="X16" si="70">W16+X15</f>
        <v>-97763.436402370658</v>
      </c>
      <c r="Y16" s="188">
        <f t="shared" ref="Y16" si="71">X16+Y15</f>
        <v>-94746.021794606364</v>
      </c>
      <c r="Z16" s="188">
        <f t="shared" ref="Z16" si="72">Y16+Z15</f>
        <v>-92533.65337921647</v>
      </c>
      <c r="AA16" s="188">
        <f t="shared" ref="AA16" si="73">Z16+AA15</f>
        <v>-91555.604567603863</v>
      </c>
      <c r="AB16" s="188">
        <f t="shared" ref="AB16" si="74">AA16+AB15</f>
        <v>-86640.478182544874</v>
      </c>
      <c r="AC16" s="188">
        <f t="shared" ref="AC16" si="75">AB16+AC15</f>
        <v>-84934.44029341657</v>
      </c>
      <c r="AD16" s="188">
        <f t="shared" ref="AD16" si="76">AC16+AD15</f>
        <v>-84085.494611998409</v>
      </c>
      <c r="AE16" s="188">
        <f t="shared" ref="AE16" si="77">AD16+AE15</f>
        <v>-82409.323638594942</v>
      </c>
      <c r="AF16" s="188">
        <f t="shared" ref="AF16" si="78">AE16+AF15</f>
        <v>-81432.3430223225</v>
      </c>
      <c r="AG16" s="188">
        <f t="shared" ref="AG16" si="79">AF16+AG15</f>
        <v>-78419.447666794731</v>
      </c>
      <c r="AH16" s="188">
        <f t="shared" ref="AH16" si="80">AG16+AH15</f>
        <v>-74795.137499507691</v>
      </c>
      <c r="AI16" s="188">
        <f t="shared" ref="AI16" si="81">AH16+AI15</f>
        <v>-70265.204618985736</v>
      </c>
      <c r="AJ16" s="188">
        <f t="shared" ref="AJ16" si="82">AI16+AJ15</f>
        <v>-66178.307104453503</v>
      </c>
      <c r="AK16" s="188">
        <f t="shared" ref="AK16" si="83">AJ16+AK15</f>
        <v>-63420.837628918889</v>
      </c>
      <c r="AL16" s="188">
        <f t="shared" ref="AL16" si="84">AK16+AL15</f>
        <v>-61391.120828515246</v>
      </c>
      <c r="AM16" s="188">
        <f t="shared" ref="AM16" si="85">AL16+AM15</f>
        <v>-60475.093400593563</v>
      </c>
      <c r="AN16" s="188">
        <f t="shared" ref="AN16" si="86">AM16+AN15</f>
        <v>-56007.199688773442</v>
      </c>
      <c r="AO16" s="188">
        <f t="shared" ref="AO16" si="87">AN16+AO15</f>
        <v>-54435.131589237862</v>
      </c>
      <c r="AP16" s="188">
        <f t="shared" ref="AP16" si="88">AO16+AP15</f>
        <v>-53636.983456009082</v>
      </c>
      <c r="AQ16" s="188">
        <f t="shared" ref="AQ16" si="89">AP16+AQ15</f>
        <v>-52095.561094810793</v>
      </c>
      <c r="AR16" s="188">
        <f t="shared" ref="AR16" si="90">AQ16+AR15</f>
        <v>-51182.802079965142</v>
      </c>
      <c r="AS16" s="188">
        <f t="shared" ref="AS16" si="91">AR16+AS15</f>
        <v>-48433.825662933479</v>
      </c>
      <c r="AT16" s="188">
        <f t="shared" ref="AT16" si="92">AS16+AT15</f>
        <v>-45132.863330932909</v>
      </c>
      <c r="AU16" s="188">
        <f t="shared" ref="AU16" si="93">AT16+AU15</f>
        <v>-41015.696052141764</v>
      </c>
      <c r="AV16" s="188">
        <f t="shared" ref="AV16" si="94">AU16+AV15</f>
        <v>-37298.150403409956</v>
      </c>
      <c r="AW16" s="188">
        <f t="shared" ref="AW16" si="95">AV16+AW15</f>
        <v>-34780.794862433831</v>
      </c>
      <c r="AX16" s="188">
        <f t="shared" ref="AX16" si="96">AW16+AX15</f>
        <v>-32921.245599272333</v>
      </c>
      <c r="AY16" s="188">
        <f t="shared" ref="AY16" si="97">AX16+AY15</f>
        <v>-32066.567355334195</v>
      </c>
      <c r="AZ16" s="188">
        <f t="shared" ref="AZ16" si="98">AY16+AZ15</f>
        <v>-28007.640485460419</v>
      </c>
      <c r="BA16" s="188">
        <f t="shared" ref="BA16" si="99">AZ16+BA15</f>
        <v>-26561.194865123372</v>
      </c>
      <c r="BB16" s="188">
        <f t="shared" ref="BB16" si="100">BA16+BB15</f>
        <v>-25814.200573551581</v>
      </c>
      <c r="BC16" s="188">
        <f t="shared" ref="BC16" si="101">BB16+BC15</f>
        <v>-24398.330003181873</v>
      </c>
      <c r="BD16" s="188">
        <f t="shared" ref="BD16" si="102">BC16+BD15</f>
        <v>-23549.771012214791</v>
      </c>
      <c r="BE16" s="188">
        <f t="shared" ref="BE16" si="103">BD16+BE15</f>
        <v>-21045.498256901556</v>
      </c>
      <c r="BF16" s="188">
        <f t="shared" ref="BF16" si="104">BE16+BF15</f>
        <v>-18043.472463131096</v>
      </c>
      <c r="BG16" s="188">
        <f t="shared" ref="BG16" si="105">BF16+BG15</f>
        <v>-14306.11876450284</v>
      </c>
      <c r="BH16" s="188">
        <f t="shared" ref="BH16" si="106">BG16+BH15</f>
        <v>-10929.866826362508</v>
      </c>
      <c r="BI16" s="188">
        <f t="shared" ref="BI16" si="107">BH16+BI15</f>
        <v>-8638.3591647169669</v>
      </c>
      <c r="BJ16" s="188">
        <f t="shared" ref="BJ16" si="108">BI16+BJ15</f>
        <v>-6942.4072397544323</v>
      </c>
      <c r="BK16" s="188">
        <f t="shared" ref="BK16" si="109">BJ16+BK15</f>
        <v>-6154.5349920288527</v>
      </c>
      <c r="BL16" s="188">
        <f t="shared" ref="BL16" si="110">BK16+BL15</f>
        <v>-2476.552919902243</v>
      </c>
      <c r="BM16" s="188">
        <f t="shared" ref="BM16" si="111">BL16+BM15</f>
        <v>-1158.1372163078931</v>
      </c>
      <c r="BN16" s="188">
        <f t="shared" ref="BN16" si="112">BM16+BN15</f>
        <v>-471.88005514723341</v>
      </c>
      <c r="BO16" s="188">
        <f t="shared" ref="BO16" si="113">BN16+BO15</f>
        <v>816.72483821937431</v>
      </c>
      <c r="BP16" s="188">
        <f t="shared" ref="BP16" si="114">BO16+BP15</f>
        <v>1592.8192583419009</v>
      </c>
      <c r="BQ16" s="188">
        <f t="shared" ref="BQ16" si="115">BP16+BQ15</f>
        <v>3862.1789225711859</v>
      </c>
      <c r="BR16" s="188">
        <f t="shared" ref="BR16" si="116">BQ16+BR15</f>
        <v>6579.9515450830504</v>
      </c>
      <c r="BS16" s="188">
        <f t="shared" ref="BS16" si="117">BR16+BS15</f>
        <v>9960.3994927724252</v>
      </c>
      <c r="BT16" s="188">
        <f t="shared" ref="BT16" si="118">BS16+BT15</f>
        <v>13014.196283350331</v>
      </c>
      <c r="BU16" s="188">
        <f t="shared" ref="BU16" si="119">BT16+BU15</f>
        <v>15088.937408988788</v>
      </c>
      <c r="BV16" s="188">
        <f t="shared" ref="BV16" si="120">BU16+BV15</f>
        <v>16626.09842381495</v>
      </c>
      <c r="BW16" s="188">
        <f t="shared" ref="BW16:BX16" si="121">BV16+BW15</f>
        <v>17343.640280717231</v>
      </c>
      <c r="BX16" s="188">
        <f t="shared" si="121"/>
        <v>20669.284156767939</v>
      </c>
    </row>
    <row r="17" spans="1:76" x14ac:dyDescent="0.25">
      <c r="A17" s="129" t="s">
        <v>100</v>
      </c>
      <c r="B17" s="189">
        <f t="shared" ref="B17:D17" si="122">IF(B12&lt;0,1,IF(C12&lt;0,-C12/(B12-C12),0))</f>
        <v>1</v>
      </c>
      <c r="C17" s="189">
        <f t="shared" si="122"/>
        <v>1</v>
      </c>
      <c r="D17" s="189">
        <f t="shared" si="122"/>
        <v>1</v>
      </c>
      <c r="E17" s="189">
        <f t="shared" ref="E17" si="123">IF(E12&lt;0,1,IF(F12&lt;0,-F12/(E12-F12),0))</f>
        <v>1</v>
      </c>
      <c r="F17" s="189">
        <f t="shared" ref="F17" si="124">IF(F12&lt;0,1,IF(G12&lt;0,-G12/(F12-G12),0))</f>
        <v>1</v>
      </c>
      <c r="G17" s="189">
        <f t="shared" ref="G17" si="125">IF(G12&lt;0,1,IF(H12&lt;0,-H12/(G12-H12),0))</f>
        <v>1</v>
      </c>
      <c r="H17" s="189">
        <f t="shared" ref="H17" si="126">IF(H12&lt;0,1,IF(I12&lt;0,-I12/(H12-I12),0))</f>
        <v>1</v>
      </c>
      <c r="I17" s="189">
        <f t="shared" ref="I17" si="127">IF(I12&lt;0,1,IF(J12&lt;0,-J12/(I12-J12),0))</f>
        <v>1</v>
      </c>
      <c r="J17" s="189">
        <f t="shared" ref="J17" si="128">IF(J12&lt;0,1,IF(K12&lt;0,-K12/(J12-K12),0))</f>
        <v>1</v>
      </c>
      <c r="K17" s="189">
        <f t="shared" ref="K17" si="129">IF(K12&lt;0,1,IF(L12&lt;0,-L12/(K12-L12),0))</f>
        <v>1</v>
      </c>
      <c r="L17" s="189">
        <f t="shared" ref="L17" si="130">IF(L12&lt;0,1,IF(M12&lt;0,-M12/(L12-M12),0))</f>
        <v>1</v>
      </c>
      <c r="M17" s="189">
        <f t="shared" ref="M17" si="131">IF(M12&lt;0,1,IF(N12&lt;0,-N12/(M12-N12),0))</f>
        <v>1</v>
      </c>
      <c r="N17" s="189">
        <f t="shared" ref="N17" si="132">IF(N12&lt;0,1,IF(O12&lt;0,-O12/(N12-O12),0))</f>
        <v>1</v>
      </c>
      <c r="O17" s="189">
        <f t="shared" ref="O17" si="133">IF(O12&lt;0,1,IF(P12&lt;0,-P12/(O12-P12),0))</f>
        <v>1</v>
      </c>
      <c r="P17" s="189">
        <f t="shared" ref="P17" si="134">IF(P12&lt;0,1,IF(Q12&lt;0,-Q12/(P12-Q12),0))</f>
        <v>1</v>
      </c>
      <c r="Q17" s="189">
        <f t="shared" ref="Q17" si="135">IF(Q12&lt;0,1,IF(R12&lt;0,-R12/(Q12-R12),0))</f>
        <v>1</v>
      </c>
      <c r="R17" s="189">
        <f t="shared" ref="R17" si="136">IF(R12&lt;0,1,IF(S12&lt;0,-S12/(R12-S12),0))</f>
        <v>1</v>
      </c>
      <c r="S17" s="189">
        <f t="shared" ref="S17" si="137">IF(S12&lt;0,1,IF(T12&lt;0,-T12/(S12-T12),0))</f>
        <v>1</v>
      </c>
      <c r="T17" s="189">
        <f t="shared" ref="T17" si="138">IF(T12&lt;0,1,IF(U12&lt;0,-U12/(T12-U12),0))</f>
        <v>1</v>
      </c>
      <c r="U17" s="189">
        <f t="shared" ref="U17" si="139">IF(U12&lt;0,1,IF(V12&lt;0,-V12/(U12-V12),0))</f>
        <v>1</v>
      </c>
      <c r="V17" s="189">
        <f t="shared" ref="V17" si="140">IF(V12&lt;0,1,IF(W12&lt;0,-W12/(V12-W12),0))</f>
        <v>1</v>
      </c>
      <c r="W17" s="189">
        <f t="shared" ref="W17" si="141">IF(W12&lt;0,1,IF(X12&lt;0,-X12/(W12-X12),0))</f>
        <v>1</v>
      </c>
      <c r="X17" s="189">
        <f t="shared" ref="X17" si="142">IF(X12&lt;0,1,IF(Y12&lt;0,-Y12/(X12-Y12),0))</f>
        <v>1</v>
      </c>
      <c r="Y17" s="189">
        <f t="shared" ref="Y17" si="143">IF(Y12&lt;0,1,IF(Z12&lt;0,-Z12/(Y12-Z12),0))</f>
        <v>1</v>
      </c>
      <c r="Z17" s="189">
        <f t="shared" ref="Z17" si="144">IF(Z12&lt;0,1,IF(AA12&lt;0,-AA12/(Z12-AA12),0))</f>
        <v>1</v>
      </c>
      <c r="AA17" s="189">
        <f t="shared" ref="AA17" si="145">IF(AA12&lt;0,1,IF(AB12&lt;0,-AB12/(AA12-AB12),0))</f>
        <v>1</v>
      </c>
      <c r="AB17" s="189">
        <f t="shared" ref="AB17" si="146">IF(AB12&lt;0,1,IF(AC12&lt;0,-AC12/(AB12-AC12),0))</f>
        <v>1</v>
      </c>
      <c r="AC17" s="189">
        <f t="shared" ref="AC17" si="147">IF(AC12&lt;0,1,IF(AD12&lt;0,-AD12/(AC12-AD12),0))</f>
        <v>1</v>
      </c>
      <c r="AD17" s="189">
        <f t="shared" ref="AD17" si="148">IF(AD12&lt;0,1,IF(AE12&lt;0,-AE12/(AD12-AE12),0))</f>
        <v>1</v>
      </c>
      <c r="AE17" s="189">
        <f t="shared" ref="AE17" si="149">IF(AE12&lt;0,1,IF(AF12&lt;0,-AF12/(AE12-AF12),0))</f>
        <v>1</v>
      </c>
      <c r="AF17" s="189">
        <f t="shared" ref="AF17" si="150">IF(AF12&lt;0,1,IF(AG12&lt;0,-AG12/(AF12-AG12),0))</f>
        <v>1</v>
      </c>
      <c r="AG17" s="189">
        <f t="shared" ref="AG17" si="151">IF(AG12&lt;0,1,IF(AH12&lt;0,-AH12/(AG12-AH12),0))</f>
        <v>1</v>
      </c>
      <c r="AH17" s="189">
        <f t="shared" ref="AH17" si="152">IF(AH12&lt;0,1,IF(AI12&lt;0,-AI12/(AH12-AI12),0))</f>
        <v>1</v>
      </c>
      <c r="AI17" s="189">
        <f t="shared" ref="AI17" si="153">IF(AI12&lt;0,1,IF(AJ12&lt;0,-AJ12/(AI12-AJ12),0))</f>
        <v>1</v>
      </c>
      <c r="AJ17" s="189">
        <f t="shared" ref="AJ17" si="154">IF(AJ12&lt;0,1,IF(AK12&lt;0,-AK12/(AJ12-AK12),0))</f>
        <v>1</v>
      </c>
      <c r="AK17" s="189">
        <f t="shared" ref="AK17" si="155">IF(AK12&lt;0,1,IF(AL12&lt;0,-AL12/(AK12-AL12),0))</f>
        <v>1</v>
      </c>
      <c r="AL17" s="189">
        <f t="shared" ref="AL17" si="156">IF(AL12&lt;0,1,IF(AM12&lt;0,-AM12/(AL12-AM12),0))</f>
        <v>1</v>
      </c>
      <c r="AM17" s="189">
        <f t="shared" ref="AM17" si="157">IF(AM12&lt;0,1,IF(AN12&lt;0,-AN12/(AM12-AN12),0))</f>
        <v>1</v>
      </c>
      <c r="AN17" s="189">
        <f t="shared" ref="AN17" si="158">IF(AN12&lt;0,1,IF(AO12&lt;0,-AO12/(AN12-AO12),0))</f>
        <v>1</v>
      </c>
      <c r="AO17" s="189">
        <f t="shared" ref="AO17" si="159">IF(AO12&lt;0,1,IF(AP12&lt;0,-AP12/(AO12-AP12),0))</f>
        <v>1</v>
      </c>
      <c r="AP17" s="189">
        <f t="shared" ref="AP17" si="160">IF(AP12&lt;0,1,IF(AQ12&lt;0,-AQ12/(AP12-AQ12),0))</f>
        <v>1</v>
      </c>
      <c r="AQ17" s="189">
        <f t="shared" ref="AQ17" si="161">IF(AQ12&lt;0,1,IF(AR12&lt;0,-AR12/(AQ12-AR12),0))</f>
        <v>1</v>
      </c>
      <c r="AR17" s="189">
        <f t="shared" ref="AR17" si="162">IF(AR12&lt;0,1,IF(AS12&lt;0,-AS12/(AR12-AS12),0))</f>
        <v>1</v>
      </c>
      <c r="AS17" s="189">
        <f t="shared" ref="AS17" si="163">IF(AS12&lt;0,1,IF(AT12&lt;0,-AT12/(AS12-AT12),0))</f>
        <v>1</v>
      </c>
      <c r="AT17" s="189">
        <f t="shared" ref="AT17" si="164">IF(AT12&lt;0,1,IF(AU12&lt;0,-AU12/(AT12-AU12),0))</f>
        <v>1</v>
      </c>
      <c r="AU17" s="189">
        <f t="shared" ref="AU17" si="165">IF(AU12&lt;0,1,IF(AV12&lt;0,-AV12/(AU12-AV12),0))</f>
        <v>1</v>
      </c>
      <c r="AV17" s="189">
        <f t="shared" ref="AV17" si="166">IF(AV12&lt;0,1,IF(AW12&lt;0,-AW12/(AV12-AW12),0))</f>
        <v>1</v>
      </c>
      <c r="AW17" s="189">
        <f t="shared" ref="AW17" si="167">IF(AW12&lt;0,1,IF(AX12&lt;0,-AX12/(AW12-AX12),0))</f>
        <v>0</v>
      </c>
      <c r="AX17" s="189">
        <f t="shared" ref="AX17" si="168">IF(AX12&lt;0,1,IF(AY12&lt;0,-AY12/(AX12-AY12),0))</f>
        <v>0</v>
      </c>
      <c r="AY17" s="189">
        <f t="shared" ref="AY17" si="169">IF(AY12&lt;0,1,IF(AZ12&lt;0,-AZ12/(AY12-AZ12),0))</f>
        <v>0</v>
      </c>
      <c r="AZ17" s="189">
        <f t="shared" ref="AZ17" si="170">IF(AZ12&lt;0,1,IF(BA12&lt;0,-BA12/(AZ12-BA12),0))</f>
        <v>0</v>
      </c>
      <c r="BA17" s="189">
        <f t="shared" ref="BA17" si="171">IF(BA12&lt;0,1,IF(BB12&lt;0,-BB12/(BA12-BB12),0))</f>
        <v>0</v>
      </c>
      <c r="BB17" s="189">
        <f t="shared" ref="BB17" si="172">IF(BB12&lt;0,1,IF(BC12&lt;0,-BC12/(BB12-BC12),0))</f>
        <v>0</v>
      </c>
      <c r="BC17" s="189">
        <f t="shared" ref="BC17" si="173">IF(BC12&lt;0,1,IF(BD12&lt;0,-BD12/(BC12-BD12),0))</f>
        <v>0</v>
      </c>
      <c r="BD17" s="189">
        <f t="shared" ref="BD17" si="174">IF(BD12&lt;0,1,IF(BE12&lt;0,-BE12/(BD12-BE12),0))</f>
        <v>0</v>
      </c>
      <c r="BE17" s="189">
        <f t="shared" ref="BE17" si="175">IF(BE12&lt;0,1,IF(BF12&lt;0,-BF12/(BE12-BF12),0))</f>
        <v>0</v>
      </c>
      <c r="BF17" s="189">
        <f t="shared" ref="BF17" si="176">IF(BF12&lt;0,1,IF(BG12&lt;0,-BG12/(BF12-BG12),0))</f>
        <v>0</v>
      </c>
      <c r="BG17" s="189">
        <f t="shared" ref="BG17" si="177">IF(BG12&lt;0,1,IF(BH12&lt;0,-BH12/(BG12-BH12),0))</f>
        <v>0</v>
      </c>
      <c r="BH17" s="189">
        <f t="shared" ref="BH17" si="178">IF(BH12&lt;0,1,IF(BI12&lt;0,-BI12/(BH12-BI12),0))</f>
        <v>0</v>
      </c>
      <c r="BI17" s="189">
        <f t="shared" ref="BI17" si="179">IF(BI12&lt;0,1,IF(BJ12&lt;0,-BJ12/(BI12-BJ12),0))</f>
        <v>0</v>
      </c>
      <c r="BJ17" s="189">
        <f t="shared" ref="BJ17" si="180">IF(BJ12&lt;0,1,IF(BK12&lt;0,-BK12/(BJ12-BK12),0))</f>
        <v>0</v>
      </c>
      <c r="BK17" s="189">
        <f t="shared" ref="BK17" si="181">IF(BK12&lt;0,1,IF(BL12&lt;0,-BL12/(BK12-BL12),0))</f>
        <v>0</v>
      </c>
      <c r="BL17" s="189">
        <f t="shared" ref="BL17" si="182">IF(BL12&lt;0,1,IF(BM12&lt;0,-BM12/(BL12-BM12),0))</f>
        <v>0</v>
      </c>
      <c r="BM17" s="189">
        <f t="shared" ref="BM17" si="183">IF(BM12&lt;0,1,IF(BN12&lt;0,-BN12/(BM12-BN12),0))</f>
        <v>0</v>
      </c>
      <c r="BN17" s="189">
        <f t="shared" ref="BN17" si="184">IF(BN12&lt;0,1,IF(BO12&lt;0,-BO12/(BN12-BO12),0))</f>
        <v>0</v>
      </c>
      <c r="BO17" s="189">
        <f t="shared" ref="BO17" si="185">IF(BO12&lt;0,1,IF(BP12&lt;0,-BP12/(BO12-BP12),0))</f>
        <v>0</v>
      </c>
      <c r="BP17" s="189">
        <f t="shared" ref="BP17" si="186">IF(BP12&lt;0,1,IF(BQ12&lt;0,-BQ12/(BP12-BQ12),0))</f>
        <v>0</v>
      </c>
      <c r="BQ17" s="189">
        <f t="shared" ref="BQ17" si="187">IF(BQ12&lt;0,1,IF(BR12&lt;0,-BR12/(BQ12-BR12),0))</f>
        <v>0</v>
      </c>
      <c r="BR17" s="189">
        <f t="shared" ref="BR17" si="188">IF(BR12&lt;0,1,IF(BS12&lt;0,-BS12/(BR12-BS12),0))</f>
        <v>0</v>
      </c>
      <c r="BS17" s="189">
        <f t="shared" ref="BS17" si="189">IF(BS12&lt;0,1,IF(BT12&lt;0,-BT12/(BS12-BT12),0))</f>
        <v>0</v>
      </c>
      <c r="BT17" s="189">
        <f t="shared" ref="BT17" si="190">IF(BT12&lt;0,1,IF(BU12&lt;0,-BU12/(BT12-BU12),0))</f>
        <v>0</v>
      </c>
      <c r="BU17" s="189">
        <f t="shared" ref="BU17" si="191">IF(BU12&lt;0,1,IF(BV12&lt;0,-BV12/(BU12-BV12),0))</f>
        <v>0</v>
      </c>
      <c r="BV17" s="189">
        <f t="shared" ref="BV17" si="192">IF(BV12&lt;0,1,IF(BW12&lt;0,-BW12/(BV12-BW12),0))</f>
        <v>0</v>
      </c>
      <c r="BW17" s="189">
        <f t="shared" ref="BW17" si="193">IF(BW12&lt;0,1,IF(BX12&lt;0,-BX12/(BW12-BX12),0))</f>
        <v>0</v>
      </c>
      <c r="BX17" s="189">
        <f t="shared" ref="BX17" si="194">IF(BX12&lt;0,1,IF(BY12&lt;0,-BY12/(BX12-BY12),0))</f>
        <v>0</v>
      </c>
    </row>
    <row r="18" spans="1:76" x14ac:dyDescent="0.25">
      <c r="A18" s="90" t="s">
        <v>100</v>
      </c>
      <c r="B18" s="189">
        <f>IF(B16&lt;0,1,IF(C16&lt;0,-C16/(B16-C16),0))</f>
        <v>1</v>
      </c>
      <c r="C18" s="189">
        <f>IF(C16&lt;0,1,IF(D16&lt;0,-D16/(C16-D16),0))</f>
        <v>1</v>
      </c>
      <c r="D18" s="189">
        <f>IF(D16&lt;0,1,IF(E16&lt;0,-E16/(D16-E16),0))</f>
        <v>1</v>
      </c>
      <c r="E18" s="189">
        <f t="shared" ref="E18" si="195">IF(E16&lt;0,1,IF(F16&lt;0,-F16/(E16-F16),0))</f>
        <v>1</v>
      </c>
      <c r="F18" s="189">
        <f t="shared" ref="F18" si="196">IF(F16&lt;0,1,IF(G16&lt;0,-G16/(F16-G16),0))</f>
        <v>1</v>
      </c>
      <c r="G18" s="189">
        <f t="shared" ref="G18" si="197">IF(G16&lt;0,1,IF(H16&lt;0,-H16/(G16-H16),0))</f>
        <v>1</v>
      </c>
      <c r="H18" s="189">
        <f t="shared" ref="H18" si="198">IF(H16&lt;0,1,IF(I16&lt;0,-I16/(H16-I16),0))</f>
        <v>1</v>
      </c>
      <c r="I18" s="189">
        <f t="shared" ref="I18" si="199">IF(I16&lt;0,1,IF(J16&lt;0,-J16/(I16-J16),0))</f>
        <v>1</v>
      </c>
      <c r="J18" s="189">
        <f t="shared" ref="J18" si="200">IF(J16&lt;0,1,IF(K16&lt;0,-K16/(J16-K16),0))</f>
        <v>1</v>
      </c>
      <c r="K18" s="189">
        <f t="shared" ref="K18" si="201">IF(K16&lt;0,1,IF(L16&lt;0,-L16/(K16-L16),0))</f>
        <v>1</v>
      </c>
      <c r="L18" s="189">
        <f t="shared" ref="L18" si="202">IF(L16&lt;0,1,IF(M16&lt;0,-M16/(L16-M16),0))</f>
        <v>1</v>
      </c>
      <c r="M18" s="189">
        <f t="shared" ref="M18" si="203">IF(M16&lt;0,1,IF(N16&lt;0,-N16/(M16-N16),0))</f>
        <v>1</v>
      </c>
      <c r="N18" s="189">
        <f t="shared" ref="N18" si="204">IF(N16&lt;0,1,IF(O16&lt;0,-O16/(N16-O16),0))</f>
        <v>1</v>
      </c>
      <c r="O18" s="189">
        <f t="shared" ref="O18" si="205">IF(O16&lt;0,1,IF(P16&lt;0,-P16/(O16-P16),0))</f>
        <v>1</v>
      </c>
      <c r="P18" s="189">
        <f t="shared" ref="P18" si="206">IF(P16&lt;0,1,IF(Q16&lt;0,-Q16/(P16-Q16),0))</f>
        <v>1</v>
      </c>
      <c r="Q18" s="189">
        <f t="shared" ref="Q18" si="207">IF(Q16&lt;0,1,IF(R16&lt;0,-R16/(Q16-R16),0))</f>
        <v>1</v>
      </c>
      <c r="R18" s="189">
        <f t="shared" ref="R18" si="208">IF(R16&lt;0,1,IF(S16&lt;0,-S16/(R16-S16),0))</f>
        <v>1</v>
      </c>
      <c r="S18" s="189">
        <f t="shared" ref="S18" si="209">IF(S16&lt;0,1,IF(T16&lt;0,-T16/(S16-T16),0))</f>
        <v>1</v>
      </c>
      <c r="T18" s="189">
        <f t="shared" ref="T18" si="210">IF(T16&lt;0,1,IF(U16&lt;0,-U16/(T16-U16),0))</f>
        <v>1</v>
      </c>
      <c r="U18" s="189">
        <f t="shared" ref="U18" si="211">IF(U16&lt;0,1,IF(V16&lt;0,-V16/(U16-V16),0))</f>
        <v>1</v>
      </c>
      <c r="V18" s="189">
        <f t="shared" ref="V18" si="212">IF(V16&lt;0,1,IF(W16&lt;0,-W16/(V16-W16),0))</f>
        <v>1</v>
      </c>
      <c r="W18" s="189">
        <f t="shared" ref="W18" si="213">IF(W16&lt;0,1,IF(X16&lt;0,-X16/(W16-X16),0))</f>
        <v>1</v>
      </c>
      <c r="X18" s="189">
        <f t="shared" ref="X18" si="214">IF(X16&lt;0,1,IF(Y16&lt;0,-Y16/(X16-Y16),0))</f>
        <v>1</v>
      </c>
      <c r="Y18" s="189">
        <f t="shared" ref="Y18" si="215">IF(Y16&lt;0,1,IF(Z16&lt;0,-Z16/(Y16-Z16),0))</f>
        <v>1</v>
      </c>
      <c r="Z18" s="189">
        <f t="shared" ref="Z18" si="216">IF(Z16&lt;0,1,IF(AA16&lt;0,-AA16/(Z16-AA16),0))</f>
        <v>1</v>
      </c>
      <c r="AA18" s="189">
        <f t="shared" ref="AA18" si="217">IF(AA16&lt;0,1,IF(AB16&lt;0,-AB16/(AA16-AB16),0))</f>
        <v>1</v>
      </c>
      <c r="AB18" s="189">
        <f t="shared" ref="AB18" si="218">IF(AB16&lt;0,1,IF(AC16&lt;0,-AC16/(AB16-AC16),0))</f>
        <v>1</v>
      </c>
      <c r="AC18" s="189">
        <f t="shared" ref="AC18" si="219">IF(AC16&lt;0,1,IF(AD16&lt;0,-AD16/(AC16-AD16),0))</f>
        <v>1</v>
      </c>
      <c r="AD18" s="189">
        <f t="shared" ref="AD18" si="220">IF(AD16&lt;0,1,IF(AE16&lt;0,-AE16/(AD16-AE16),0))</f>
        <v>1</v>
      </c>
      <c r="AE18" s="189">
        <f t="shared" ref="AE18" si="221">IF(AE16&lt;0,1,IF(AF16&lt;0,-AF16/(AE16-AF16),0))</f>
        <v>1</v>
      </c>
      <c r="AF18" s="189">
        <f t="shared" ref="AF18" si="222">IF(AF16&lt;0,1,IF(AG16&lt;0,-AG16/(AF16-AG16),0))</f>
        <v>1</v>
      </c>
      <c r="AG18" s="189">
        <f t="shared" ref="AG18" si="223">IF(AG16&lt;0,1,IF(AH16&lt;0,-AH16/(AG16-AH16),0))</f>
        <v>1</v>
      </c>
      <c r="AH18" s="189">
        <f t="shared" ref="AH18" si="224">IF(AH16&lt;0,1,IF(AI16&lt;0,-AI16/(AH16-AI16),0))</f>
        <v>1</v>
      </c>
      <c r="AI18" s="189">
        <f t="shared" ref="AI18" si="225">IF(AI16&lt;0,1,IF(AJ16&lt;0,-AJ16/(AI16-AJ16),0))</f>
        <v>1</v>
      </c>
      <c r="AJ18" s="189">
        <f t="shared" ref="AJ18" si="226">IF(AJ16&lt;0,1,IF(AK16&lt;0,-AK16/(AJ16-AK16),0))</f>
        <v>1</v>
      </c>
      <c r="AK18" s="189">
        <f t="shared" ref="AK18" si="227">IF(AK16&lt;0,1,IF(AL16&lt;0,-AL16/(AK16-AL16),0))</f>
        <v>1</v>
      </c>
      <c r="AL18" s="189">
        <f t="shared" ref="AL18" si="228">IF(AL16&lt;0,1,IF(AM16&lt;0,-AM16/(AL16-AM16),0))</f>
        <v>1</v>
      </c>
      <c r="AM18" s="189">
        <f t="shared" ref="AM18" si="229">IF(AM16&lt;0,1,IF(AN16&lt;0,-AN16/(AM16-AN16),0))</f>
        <v>1</v>
      </c>
      <c r="AN18" s="189">
        <f t="shared" ref="AN18" si="230">IF(AN16&lt;0,1,IF(AO16&lt;0,-AO16/(AN16-AO16),0))</f>
        <v>1</v>
      </c>
      <c r="AO18" s="189">
        <f t="shared" ref="AO18" si="231">IF(AO16&lt;0,1,IF(AP16&lt;0,-AP16/(AO16-AP16),0))</f>
        <v>1</v>
      </c>
      <c r="AP18" s="189">
        <f t="shared" ref="AP18" si="232">IF(AP16&lt;0,1,IF(AQ16&lt;0,-AQ16/(AP16-AQ16),0))</f>
        <v>1</v>
      </c>
      <c r="AQ18" s="189">
        <f t="shared" ref="AQ18" si="233">IF(AQ16&lt;0,1,IF(AR16&lt;0,-AR16/(AQ16-AR16),0))</f>
        <v>1</v>
      </c>
      <c r="AR18" s="189">
        <f t="shared" ref="AR18" si="234">IF(AR16&lt;0,1,IF(AS16&lt;0,-AS16/(AR16-AS16),0))</f>
        <v>1</v>
      </c>
      <c r="AS18" s="189">
        <f t="shared" ref="AS18" si="235">IF(AS16&lt;0,1,IF(AT16&lt;0,-AT16/(AS16-AT16),0))</f>
        <v>1</v>
      </c>
      <c r="AT18" s="189">
        <f t="shared" ref="AT18" si="236">IF(AT16&lt;0,1,IF(AU16&lt;0,-AU16/(AT16-AU16),0))</f>
        <v>1</v>
      </c>
      <c r="AU18" s="189">
        <f t="shared" ref="AU18" si="237">IF(AU16&lt;0,1,IF(AV16&lt;0,-AV16/(AU16-AV16),0))</f>
        <v>1</v>
      </c>
      <c r="AV18" s="189">
        <f t="shared" ref="AV18" si="238">IF(AV16&lt;0,1,IF(AW16&lt;0,-AW16/(AV16-AW16),0))</f>
        <v>1</v>
      </c>
      <c r="AW18" s="189">
        <f t="shared" ref="AW18" si="239">IF(AW16&lt;0,1,IF(AX16&lt;0,-AX16/(AW16-AX16),0))</f>
        <v>1</v>
      </c>
      <c r="AX18" s="189">
        <f t="shared" ref="AX18" si="240">IF(AX16&lt;0,1,IF(AY16&lt;0,-AY16/(AX16-AY16),0))</f>
        <v>1</v>
      </c>
      <c r="AY18" s="189">
        <f t="shared" ref="AY18" si="241">IF(AY16&lt;0,1,IF(AZ16&lt;0,-AZ16/(AY16-AZ16),0))</f>
        <v>1</v>
      </c>
      <c r="AZ18" s="189">
        <f t="shared" ref="AZ18" si="242">IF(AZ16&lt;0,1,IF(BA16&lt;0,-BA16/(AZ16-BA16),0))</f>
        <v>1</v>
      </c>
      <c r="BA18" s="189">
        <f t="shared" ref="BA18" si="243">IF(BA16&lt;0,1,IF(BB16&lt;0,-BB16/(BA16-BB16),0))</f>
        <v>1</v>
      </c>
      <c r="BB18" s="189">
        <f t="shared" ref="BB18" si="244">IF(BB16&lt;0,1,IF(BC16&lt;0,-BC16/(BB16-BC16),0))</f>
        <v>1</v>
      </c>
      <c r="BC18" s="189">
        <f t="shared" ref="BC18" si="245">IF(BC16&lt;0,1,IF(BD16&lt;0,-BD16/(BC16-BD16),0))</f>
        <v>1</v>
      </c>
      <c r="BD18" s="189">
        <f t="shared" ref="BD18" si="246">IF(BD16&lt;0,1,IF(BE16&lt;0,-BE16/(BD16-BE16),0))</f>
        <v>1</v>
      </c>
      <c r="BE18" s="189">
        <f t="shared" ref="BE18" si="247">IF(BE16&lt;0,1,IF(BF16&lt;0,-BF16/(BE16-BF16),0))</f>
        <v>1</v>
      </c>
      <c r="BF18" s="189">
        <f t="shared" ref="BF18" si="248">IF(BF16&lt;0,1,IF(BG16&lt;0,-BG16/(BF16-BG16),0))</f>
        <v>1</v>
      </c>
      <c r="BG18" s="189">
        <f t="shared" ref="BG18" si="249">IF(BG16&lt;0,1,IF(BH16&lt;0,-BH16/(BG16-BH16),0))</f>
        <v>1</v>
      </c>
      <c r="BH18" s="189">
        <f t="shared" ref="BH18" si="250">IF(BH16&lt;0,1,IF(BI16&lt;0,-BI16/(BH16-BI16),0))</f>
        <v>1</v>
      </c>
      <c r="BI18" s="189">
        <f t="shared" ref="BI18" si="251">IF(BI16&lt;0,1,IF(BJ16&lt;0,-BJ16/(BI16-BJ16),0))</f>
        <v>1</v>
      </c>
      <c r="BJ18" s="189">
        <f t="shared" ref="BJ18" si="252">IF(BJ16&lt;0,1,IF(BK16&lt;0,-BK16/(BJ16-BK16),0))</f>
        <v>1</v>
      </c>
      <c r="BK18" s="189">
        <f t="shared" ref="BK18" si="253">IF(BK16&lt;0,1,IF(BL16&lt;0,-BL16/(BK16-BL16),0))</f>
        <v>1</v>
      </c>
      <c r="BL18" s="189">
        <f t="shared" ref="BL18" si="254">IF(BL16&lt;0,1,IF(BM16&lt;0,-BM16/(BL16-BM16),0))</f>
        <v>1</v>
      </c>
      <c r="BM18" s="189">
        <f t="shared" ref="BM18" si="255">IF(BM16&lt;0,1,IF(BN16&lt;0,-BN16/(BM16-BN16),0))</f>
        <v>1</v>
      </c>
      <c r="BN18" s="189">
        <f t="shared" ref="BN18" si="256">IF(BN16&lt;0,1,IF(BO16&lt;0,-BO16/(BN16-BO16),0))</f>
        <v>1</v>
      </c>
      <c r="BO18" s="189">
        <f t="shared" ref="BO18" si="257">IF(BO16&lt;0,1,IF(BP16&lt;0,-BP16/(BO16-BP16),0))</f>
        <v>0</v>
      </c>
      <c r="BP18" s="189">
        <f t="shared" ref="BP18" si="258">IF(BP16&lt;0,1,IF(BQ16&lt;0,-BQ16/(BP16-BQ16),0))</f>
        <v>0</v>
      </c>
      <c r="BQ18" s="189">
        <f t="shared" ref="BQ18" si="259">IF(BQ16&lt;0,1,IF(BR16&lt;0,-BR16/(BQ16-BR16),0))</f>
        <v>0</v>
      </c>
      <c r="BR18" s="189">
        <f t="shared" ref="BR18" si="260">IF(BR16&lt;0,1,IF(BS16&lt;0,-BS16/(BR16-BS16),0))</f>
        <v>0</v>
      </c>
      <c r="BS18" s="189">
        <f t="shared" ref="BS18" si="261">IF(BS16&lt;0,1,IF(BT16&lt;0,-BT16/(BS16-BT16),0))</f>
        <v>0</v>
      </c>
      <c r="BT18" s="189">
        <f t="shared" ref="BT18" si="262">IF(BT16&lt;0,1,IF(BU16&lt;0,-BU16/(BT16-BU16),0))</f>
        <v>0</v>
      </c>
      <c r="BU18" s="189">
        <f t="shared" ref="BU18" si="263">IF(BU16&lt;0,1,IF(BV16&lt;0,-BV16/(BU16-BV16),0))</f>
        <v>0</v>
      </c>
      <c r="BV18" s="189">
        <f t="shared" ref="BV18" si="264">IF(BV16&lt;0,1,IF(BW16&lt;0,-BW16/(BV16-BW16),0))</f>
        <v>0</v>
      </c>
      <c r="BW18" s="189">
        <f t="shared" ref="BW18" si="265">IF(BW16&lt;0,1,IF(BX16&lt;0,-BX16/(BW16-BX16),0))</f>
        <v>0</v>
      </c>
      <c r="BX18" s="189">
        <f t="shared" ref="BX18" si="266">IF(BX16&lt;0,1,IF(BY16&lt;0,-BY16/(BX16-BY16),0))</f>
        <v>0</v>
      </c>
    </row>
    <row r="19" spans="1:76" x14ac:dyDescent="0.25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76" x14ac:dyDescent="0.25">
      <c r="A20" s="23" t="s">
        <v>81</v>
      </c>
      <c r="B20" s="7"/>
      <c r="C20" s="18"/>
      <c r="D20" s="22"/>
      <c r="E20" s="22"/>
      <c r="F20" s="22"/>
      <c r="G20" s="22"/>
    </row>
    <row r="21" spans="1:76" x14ac:dyDescent="0.25">
      <c r="A21" s="142" t="s">
        <v>24</v>
      </c>
      <c r="B21" s="84" t="s">
        <v>25</v>
      </c>
      <c r="C21" s="84" t="s">
        <v>52</v>
      </c>
      <c r="E21" s="24"/>
      <c r="F21" s="24"/>
      <c r="G21" s="24"/>
    </row>
    <row r="22" spans="1:76" x14ac:dyDescent="0.25">
      <c r="A22" s="90" t="s">
        <v>75</v>
      </c>
      <c r="B22" s="190">
        <f>ОФР!$I$33/1000</f>
        <v>479.41410351734095</v>
      </c>
      <c r="C22" s="191" t="s">
        <v>82</v>
      </c>
      <c r="E22" s="26"/>
      <c r="F22" s="26"/>
      <c r="G22" s="26"/>
    </row>
    <row r="23" spans="1:76" x14ac:dyDescent="0.25">
      <c r="A23" s="90" t="s">
        <v>155</v>
      </c>
      <c r="B23" s="190">
        <f>ОФР!$I$42/1000</f>
        <v>205.80601812213678</v>
      </c>
      <c r="C23" s="191" t="s">
        <v>82</v>
      </c>
      <c r="E23" s="26"/>
      <c r="F23" s="26"/>
      <c r="G23" s="26"/>
    </row>
    <row r="24" spans="1:76" x14ac:dyDescent="0.25">
      <c r="A24" s="90" t="s">
        <v>176</v>
      </c>
      <c r="B24" s="211">
        <f>B23/B22</f>
        <v>0.42928653248243986</v>
      </c>
      <c r="C24" s="191" t="s">
        <v>54</v>
      </c>
      <c r="E24" s="26"/>
      <c r="F24" s="26"/>
      <c r="G24" s="26"/>
    </row>
    <row r="25" spans="1:76" hidden="1" x14ac:dyDescent="0.25">
      <c r="A25" s="90" t="s">
        <v>83</v>
      </c>
      <c r="B25" s="192">
        <f>'Книга допущений'!B36</f>
        <v>0.15240384615384595</v>
      </c>
      <c r="C25" s="193" t="s">
        <v>54</v>
      </c>
      <c r="E25" s="26"/>
      <c r="F25" s="26"/>
      <c r="G25" s="26"/>
    </row>
    <row r="26" spans="1:76" s="28" customFormat="1" x14ac:dyDescent="0.25">
      <c r="A26" s="150" t="s">
        <v>84</v>
      </c>
      <c r="B26" s="190">
        <f>NPV(B25/12,B11:BX11)/1000</f>
        <v>16.267998805131221</v>
      </c>
      <c r="C26" s="191" t="s">
        <v>82</v>
      </c>
      <c r="E26" s="72"/>
      <c r="F26" s="72"/>
      <c r="G26" s="72"/>
      <c r="H26" s="28" t="s">
        <v>64</v>
      </c>
    </row>
    <row r="27" spans="1:76" x14ac:dyDescent="0.25">
      <c r="A27" s="150" t="s">
        <v>85</v>
      </c>
      <c r="B27" s="194">
        <f>B26*1000/Вложения!C33+1</f>
        <v>1.1220777371807289</v>
      </c>
      <c r="C27" s="194" t="s">
        <v>86</v>
      </c>
      <c r="E27" s="25"/>
      <c r="F27" s="25"/>
      <c r="G27" s="25"/>
    </row>
    <row r="28" spans="1:76" x14ac:dyDescent="0.25">
      <c r="A28" s="90" t="s">
        <v>87</v>
      </c>
      <c r="B28" s="267">
        <f>IRR(B10:BX10)*12</f>
        <v>0.19993920555372746</v>
      </c>
      <c r="C28" s="192" t="s">
        <v>54</v>
      </c>
      <c r="E28" s="26"/>
      <c r="F28" s="26"/>
      <c r="G28" s="26"/>
    </row>
    <row r="29" spans="1:76" x14ac:dyDescent="0.25">
      <c r="A29" s="90" t="s">
        <v>177</v>
      </c>
      <c r="B29" s="192">
        <f>IRR(B11:BX11)*12</f>
        <v>0.19116313127191376</v>
      </c>
      <c r="C29" s="192" t="s">
        <v>54</v>
      </c>
      <c r="E29" s="26"/>
      <c r="F29" s="26"/>
      <c r="G29" s="26"/>
    </row>
    <row r="30" spans="1:76" x14ac:dyDescent="0.25">
      <c r="A30" s="90" t="s">
        <v>88</v>
      </c>
      <c r="B30" s="195">
        <f>SUM(B17:BX17)/12</f>
        <v>3.9166666666666665</v>
      </c>
      <c r="C30" s="189" t="s">
        <v>89</v>
      </c>
      <c r="E30" s="25"/>
      <c r="F30" s="25"/>
      <c r="G30" s="25"/>
    </row>
    <row r="31" spans="1:76" x14ac:dyDescent="0.25">
      <c r="A31" s="422" t="s">
        <v>90</v>
      </c>
      <c r="B31" s="423">
        <f>SUM(B18:BX18)/12</f>
        <v>5.416666666666667</v>
      </c>
      <c r="C31" s="424" t="s">
        <v>89</v>
      </c>
      <c r="E31" s="27"/>
      <c r="F31" s="27"/>
      <c r="G31" s="27"/>
    </row>
    <row r="32" spans="1:76" x14ac:dyDescent="0.25">
      <c r="A32" s="397" t="s">
        <v>602</v>
      </c>
      <c r="B32" s="425">
        <f>SUM(BM10:BX10)/('Книга допущений'!B36-'Книга допущений'!B34)/1000</f>
        <v>469.82627833338222</v>
      </c>
      <c r="C32" s="340" t="s">
        <v>82</v>
      </c>
    </row>
    <row r="33" spans="1:9" x14ac:dyDescent="0.25">
      <c r="A33" s="397" t="s">
        <v>603</v>
      </c>
      <c r="B33" s="425">
        <f>B26+B32/(1+B25)</f>
        <v>423.96038884828317</v>
      </c>
      <c r="C33" s="340" t="s">
        <v>82</v>
      </c>
    </row>
    <row r="34" spans="1:9" x14ac:dyDescent="0.25">
      <c r="A34" s="397" t="s">
        <v>604</v>
      </c>
      <c r="B34" s="425">
        <f>AVERAGE(ОФР!C42:H42)/B25/1000</f>
        <v>225.47264644271559</v>
      </c>
      <c r="C34" s="340" t="s">
        <v>82</v>
      </c>
    </row>
    <row r="36" spans="1:9" x14ac:dyDescent="0.25">
      <c r="A36" s="7" t="s">
        <v>179</v>
      </c>
      <c r="B36" s="7"/>
    </row>
    <row r="37" spans="1:9" x14ac:dyDescent="0.25">
      <c r="A37" s="142" t="s">
        <v>24</v>
      </c>
      <c r="B37" s="205" t="s">
        <v>52</v>
      </c>
      <c r="C37" s="395">
        <f>'План продаж'!C36</f>
        <v>2020</v>
      </c>
      <c r="D37" s="395">
        <f>'План продаж'!D36</f>
        <v>2021</v>
      </c>
      <c r="E37" s="395">
        <f>'План продаж'!E36</f>
        <v>2022</v>
      </c>
      <c r="F37" s="395">
        <f>'План продаж'!F36</f>
        <v>2023</v>
      </c>
      <c r="G37" s="395">
        <f>'План продаж'!G36</f>
        <v>2024</v>
      </c>
      <c r="H37" s="395">
        <f>'План продаж'!H36</f>
        <v>2025</v>
      </c>
      <c r="I37" s="395">
        <f>'План продаж'!I36</f>
        <v>2026</v>
      </c>
    </row>
    <row r="38" spans="1:9" x14ac:dyDescent="0.25">
      <c r="A38" s="90" t="s">
        <v>75</v>
      </c>
      <c r="B38" s="191" t="s">
        <v>82</v>
      </c>
      <c r="C38" s="190">
        <f>ОФР!B33/1000</f>
        <v>0</v>
      </c>
      <c r="D38" s="259">
        <f>ОФР!C33/1000</f>
        <v>29.025193516800005</v>
      </c>
      <c r="E38" s="259">
        <f>ОФР!D33/1000</f>
        <v>81.249548769792028</v>
      </c>
      <c r="F38" s="259">
        <f>ОФР!E33/1000</f>
        <v>86.928644922163201</v>
      </c>
      <c r="G38" s="259">
        <f>ОФР!F33/1000</f>
        <v>90.405790719049747</v>
      </c>
      <c r="H38" s="259">
        <f>ОФР!G33/1000</f>
        <v>94.022022347811742</v>
      </c>
      <c r="I38" s="259">
        <f>ОФР!H33/1000</f>
        <v>97.782903241724213</v>
      </c>
    </row>
    <row r="39" spans="1:9" x14ac:dyDescent="0.25">
      <c r="A39" s="90" t="s">
        <v>155</v>
      </c>
      <c r="B39" s="191" t="s">
        <v>82</v>
      </c>
      <c r="C39" s="190">
        <f>ОФР!B42/1000</f>
        <v>-0.37137300000000001</v>
      </c>
      <c r="D39" s="259">
        <f>ОФР!C42/1000</f>
        <v>8.5685567508967129</v>
      </c>
      <c r="E39" s="259">
        <f>ОФР!D42/1000</f>
        <v>31.323105374351059</v>
      </c>
      <c r="F39" s="259">
        <f>ОФР!E42/1000</f>
        <v>37.931558945007112</v>
      </c>
      <c r="G39" s="259">
        <f>ОФР!F42/1000</f>
        <v>40.361278654951789</v>
      </c>
      <c r="H39" s="259">
        <f>ОФР!G42/1000</f>
        <v>42.797779496247728</v>
      </c>
      <c r="I39" s="259">
        <f>ОФР!H42/1000</f>
        <v>45.195111900682342</v>
      </c>
    </row>
    <row r="40" spans="1:9" x14ac:dyDescent="0.25">
      <c r="A40" s="90" t="s">
        <v>176</v>
      </c>
      <c r="B40" s="191" t="s">
        <v>54</v>
      </c>
      <c r="C40" s="409">
        <v>0</v>
      </c>
      <c r="D40" s="409">
        <f t="shared" ref="D40:H40" si="267">D39/D38</f>
        <v>0.29521101197610161</v>
      </c>
      <c r="E40" s="409">
        <f t="shared" si="267"/>
        <v>0.38551728407871177</v>
      </c>
      <c r="F40" s="409">
        <f t="shared" si="267"/>
        <v>0.4363528153345933</v>
      </c>
      <c r="G40" s="409">
        <f t="shared" si="267"/>
        <v>0.44644572359729506</v>
      </c>
      <c r="H40" s="409">
        <f t="shared" si="267"/>
        <v>0.45518888476922659</v>
      </c>
      <c r="I40" s="409">
        <f>I39/I38</f>
        <v>0.46219850712509292</v>
      </c>
    </row>
    <row r="41" spans="1:9" x14ac:dyDescent="0.25">
      <c r="A41" s="150" t="s">
        <v>84</v>
      </c>
      <c r="B41" s="290" t="s">
        <v>82</v>
      </c>
      <c r="C41" s="507">
        <f t="shared" ref="C41:C46" si="268">B26</f>
        <v>16.267998805131221</v>
      </c>
      <c r="D41" s="507"/>
      <c r="E41" s="507"/>
      <c r="F41" s="507"/>
      <c r="G41" s="507"/>
      <c r="H41" s="507"/>
      <c r="I41" s="507"/>
    </row>
    <row r="42" spans="1:9" x14ac:dyDescent="0.25">
      <c r="A42" s="150" t="s">
        <v>85</v>
      </c>
      <c r="B42" s="406" t="s">
        <v>86</v>
      </c>
      <c r="C42" s="507">
        <f t="shared" si="268"/>
        <v>1.1220777371807289</v>
      </c>
      <c r="D42" s="507"/>
      <c r="E42" s="507"/>
      <c r="F42" s="507"/>
      <c r="G42" s="507"/>
      <c r="H42" s="507"/>
      <c r="I42" s="507"/>
    </row>
    <row r="43" spans="1:9" x14ac:dyDescent="0.25">
      <c r="A43" s="90" t="s">
        <v>87</v>
      </c>
      <c r="B43" s="407" t="s">
        <v>54</v>
      </c>
      <c r="C43" s="508">
        <f t="shared" si="268"/>
        <v>0.19993920555372746</v>
      </c>
      <c r="D43" s="508"/>
      <c r="E43" s="508"/>
      <c r="F43" s="508"/>
      <c r="G43" s="508"/>
      <c r="H43" s="508"/>
      <c r="I43" s="508"/>
    </row>
    <row r="44" spans="1:9" hidden="1" x14ac:dyDescent="0.25">
      <c r="A44" s="90" t="s">
        <v>177</v>
      </c>
      <c r="B44" s="407" t="s">
        <v>54</v>
      </c>
      <c r="C44" s="508">
        <f t="shared" si="268"/>
        <v>0.19116313127191376</v>
      </c>
      <c r="D44" s="508"/>
      <c r="E44" s="508"/>
      <c r="F44" s="508"/>
      <c r="G44" s="508"/>
      <c r="H44" s="508"/>
      <c r="I44" s="508"/>
    </row>
    <row r="45" spans="1:9" x14ac:dyDescent="0.25">
      <c r="A45" s="90" t="s">
        <v>88</v>
      </c>
      <c r="B45" s="408" t="s">
        <v>89</v>
      </c>
      <c r="C45" s="506">
        <f t="shared" si="268"/>
        <v>3.9166666666666665</v>
      </c>
      <c r="D45" s="506"/>
      <c r="E45" s="506"/>
      <c r="F45" s="506"/>
      <c r="G45" s="506"/>
      <c r="H45" s="506"/>
      <c r="I45" s="506"/>
    </row>
    <row r="46" spans="1:9" x14ac:dyDescent="0.25">
      <c r="A46" s="90" t="s">
        <v>90</v>
      </c>
      <c r="B46" s="408" t="s">
        <v>89</v>
      </c>
      <c r="C46" s="506">
        <f t="shared" si="268"/>
        <v>5.416666666666667</v>
      </c>
      <c r="D46" s="506"/>
      <c r="E46" s="506"/>
      <c r="F46" s="506"/>
      <c r="G46" s="506"/>
      <c r="H46" s="506"/>
      <c r="I46" s="506"/>
    </row>
    <row r="85" spans="4:4" x14ac:dyDescent="0.25">
      <c r="D85" s="76"/>
    </row>
  </sheetData>
  <mergeCells count="7">
    <mergeCell ref="C45:I45"/>
    <mergeCell ref="C46:I46"/>
    <mergeCell ref="A8:A9"/>
    <mergeCell ref="C41:I41"/>
    <mergeCell ref="C42:I42"/>
    <mergeCell ref="C43:I43"/>
    <mergeCell ref="C44:I44"/>
  </mergeCells>
  <phoneticPr fontId="6" type="noConversion"/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N51"/>
  <sheetViews>
    <sheetView showGridLines="0" topLeftCell="A7" workbookViewId="0">
      <selection activeCell="C23" sqref="C23"/>
    </sheetView>
  </sheetViews>
  <sheetFormatPr defaultColWidth="8" defaultRowHeight="13.2" x14ac:dyDescent="0.25"/>
  <cols>
    <col min="1" max="1" width="37" style="1" customWidth="1"/>
    <col min="2" max="2" width="17.109375" style="1" customWidth="1"/>
    <col min="3" max="3" width="12.33203125" style="1" customWidth="1"/>
    <col min="4" max="4" width="14.33203125" style="1" customWidth="1"/>
    <col min="5" max="5" width="19.77734375" style="1" customWidth="1"/>
    <col min="6" max="6" width="16.77734375" style="1" customWidth="1"/>
    <col min="7" max="7" width="16.33203125" style="1" customWidth="1"/>
    <col min="8" max="8" width="12.33203125" style="2" customWidth="1"/>
    <col min="9" max="9" width="17.44140625" style="3" customWidth="1"/>
    <col min="10" max="10" width="12.33203125" style="3" customWidth="1"/>
    <col min="11" max="11" width="16" style="1" customWidth="1"/>
    <col min="12" max="13" width="11.6640625" style="1" bestFit="1" customWidth="1"/>
    <col min="14" max="241" width="9.33203125" style="1" customWidth="1"/>
    <col min="242" max="242" width="52.33203125" style="1" customWidth="1"/>
    <col min="243" max="243" width="8" style="1" customWidth="1"/>
    <col min="244" max="244" width="8.6640625" style="1" customWidth="1"/>
    <col min="245" max="16384" width="8" style="1"/>
  </cols>
  <sheetData>
    <row r="1" spans="1:14" s="376" customFormat="1" ht="28.5" customHeight="1" x14ac:dyDescent="0.3">
      <c r="A1" s="392" t="s">
        <v>163</v>
      </c>
      <c r="B1" s="375"/>
    </row>
    <row r="2" spans="1:14" s="376" customFormat="1" ht="19.5" customHeight="1" x14ac:dyDescent="0.25">
      <c r="A2" s="380" t="str">
        <f>Фин.показатели!A2</f>
        <v>Парк мобильных домов</v>
      </c>
      <c r="B2" s="377"/>
    </row>
    <row r="3" spans="1:14" s="376" customFormat="1" ht="15" customHeight="1" x14ac:dyDescent="0.25">
      <c r="A3" s="378"/>
      <c r="B3" s="379"/>
    </row>
    <row r="4" spans="1:14" s="12" customFormat="1" ht="21.75" customHeight="1" x14ac:dyDescent="0.25">
      <c r="A4" s="14"/>
      <c r="B4"/>
    </row>
    <row r="5" spans="1:14" x14ac:dyDescent="0.25">
      <c r="A5" s="4" t="s">
        <v>145</v>
      </c>
    </row>
    <row r="6" spans="1:14" x14ac:dyDescent="0.25">
      <c r="A6" s="4"/>
    </row>
    <row r="7" spans="1:14" x14ac:dyDescent="0.25">
      <c r="A7" s="4" t="s">
        <v>94</v>
      </c>
    </row>
    <row r="8" spans="1:14" x14ac:dyDescent="0.25">
      <c r="A8" s="84" t="s">
        <v>92</v>
      </c>
      <c r="B8" s="84" t="s">
        <v>95</v>
      </c>
      <c r="C8" s="205" t="s">
        <v>337</v>
      </c>
    </row>
    <row r="9" spans="1:14" x14ac:dyDescent="0.25">
      <c r="A9" s="135" t="s">
        <v>356</v>
      </c>
      <c r="B9" s="241">
        <v>0</v>
      </c>
      <c r="C9" s="241">
        <v>14.34</v>
      </c>
    </row>
    <row r="10" spans="1:14" x14ac:dyDescent="0.25">
      <c r="A10" s="135" t="s">
        <v>96</v>
      </c>
      <c r="B10" s="241">
        <v>0</v>
      </c>
      <c r="C10" s="241">
        <v>-0.22600000000000001</v>
      </c>
    </row>
    <row r="11" spans="1:14" x14ac:dyDescent="0.25">
      <c r="A11" s="135" t="s">
        <v>622</v>
      </c>
      <c r="B11" s="241">
        <v>0</v>
      </c>
      <c r="C11" s="241">
        <v>-0.28899999999999998</v>
      </c>
    </row>
    <row r="12" spans="1:14" x14ac:dyDescent="0.25">
      <c r="A12" s="135" t="s">
        <v>97</v>
      </c>
      <c r="B12" s="241">
        <v>0</v>
      </c>
      <c r="C12" s="241">
        <v>1.524</v>
      </c>
    </row>
    <row r="13" spans="1:14" x14ac:dyDescent="0.25">
      <c r="A13" s="135" t="s">
        <v>620</v>
      </c>
      <c r="B13" s="241">
        <v>0</v>
      </c>
      <c r="C13" s="241">
        <v>2.915</v>
      </c>
      <c r="G13" s="1" t="s">
        <v>64</v>
      </c>
    </row>
    <row r="14" spans="1:14" s="67" customFormat="1" x14ac:dyDescent="0.25">
      <c r="A14" s="135" t="s">
        <v>621</v>
      </c>
      <c r="B14" s="241">
        <v>0</v>
      </c>
      <c r="C14" s="241">
        <v>4.46</v>
      </c>
      <c r="H14" s="2"/>
      <c r="I14" s="3"/>
      <c r="J14" s="3"/>
    </row>
    <row r="15" spans="1:14" x14ac:dyDescent="0.25">
      <c r="A15" s="5"/>
      <c r="B15" s="6"/>
      <c r="M15" s="67"/>
      <c r="N15" s="67"/>
    </row>
    <row r="16" spans="1:14" x14ac:dyDescent="0.25">
      <c r="A16" s="7" t="s">
        <v>98</v>
      </c>
      <c r="B16" s="6"/>
      <c r="M16" s="67"/>
      <c r="N16" s="67"/>
    </row>
    <row r="17" spans="1:14" ht="37.5" customHeight="1" x14ac:dyDescent="0.25">
      <c r="A17" s="123" t="str">
        <f>A9</f>
        <v>Изменение инвестиций</v>
      </c>
      <c r="B17" s="196">
        <f>NPV(Фин.показатели!B25/12,Фин.показатели!B11:BX11)/1000</f>
        <v>16.267998805131221</v>
      </c>
      <c r="C17" s="123" t="s">
        <v>96</v>
      </c>
      <c r="D17" s="197">
        <f>NPV(Фин.показатели!B25/12,Фин.показатели!B11:BX11)/1000</f>
        <v>16.267998805131221</v>
      </c>
      <c r="E17" s="123" t="str">
        <f>A11</f>
        <v>Изменение загрузки номерного фонда</v>
      </c>
      <c r="F17" s="197">
        <f>NPV(Фин.показатели!B25/12,Фин.показатели!B11:BX11)/1000</f>
        <v>16.267998805131221</v>
      </c>
      <c r="G17" s="198" t="str">
        <f>A12</f>
        <v>Изменение затрат на персонал</v>
      </c>
      <c r="H17" s="199">
        <f>NPV(Фин.показатели!B25/12,Фин.показатели!B11:BX11)/1000</f>
        <v>16.267998805131221</v>
      </c>
      <c r="I17" s="198" t="str">
        <f>A13</f>
        <v>Изменение коммерческих затрат</v>
      </c>
      <c r="J17" s="199">
        <f>NPV(Фин.показатели!B25/12,Фин.показатели!B11:BX11)/1000</f>
        <v>16.267998805131221</v>
      </c>
      <c r="K17" s="198" t="str">
        <f>A14</f>
        <v>Изменение коммунальных затрат</v>
      </c>
      <c r="L17" s="199">
        <f>NPV(Фин.показатели!B25/12,Фин.показатели!B11:BX11)/1000</f>
        <v>16.267998805131221</v>
      </c>
      <c r="M17" s="67"/>
      <c r="N17" s="67"/>
    </row>
    <row r="18" spans="1:14" x14ac:dyDescent="0.25">
      <c r="A18" s="202">
        <v>-0.2</v>
      </c>
      <c r="B18" s="200">
        <f t="dataTable" ref="B18:B26" dt2D="0" dtr="0" r1="B9" ca="1"/>
        <v>17.031425078942966</v>
      </c>
      <c r="C18" s="202">
        <f>A18</f>
        <v>-0.2</v>
      </c>
      <c r="D18" s="201">
        <f t="dataTable" ref="D18:D26" dt2D="0" dtr="0" r1="B10"/>
        <v>-36.643124013369722</v>
      </c>
      <c r="E18" s="202">
        <f>C18</f>
        <v>-0.2</v>
      </c>
      <c r="F18" s="201">
        <f t="dataTable" ref="F18:F26" dt2D="0" dtr="0" r1="B11" ca="1"/>
        <v>-25.167194257763938</v>
      </c>
      <c r="G18" s="202">
        <f>A18</f>
        <v>-0.2</v>
      </c>
      <c r="H18" s="195">
        <f t="dataTable" ref="H18:H26" dt2D="0" dtr="0" r1="B12" ca="1"/>
        <v>25.128543173078302</v>
      </c>
      <c r="I18" s="202">
        <f>C18</f>
        <v>-0.2</v>
      </c>
      <c r="J18" s="195">
        <f t="dataTable" ref="J18:J26" dt2D="0" dtr="0" r1="B13" ca="1"/>
        <v>20.164665846028118</v>
      </c>
      <c r="K18" s="202">
        <f>E18</f>
        <v>-0.2</v>
      </c>
      <c r="L18" s="195">
        <f t="dataTable" ref="L18:L26" dt2D="0" dtr="0" r1="B14" ca="1"/>
        <v>18.943331611121323</v>
      </c>
      <c r="M18" s="67"/>
      <c r="N18" s="67"/>
    </row>
    <row r="19" spans="1:14" x14ac:dyDescent="0.25">
      <c r="A19" s="202">
        <v>-0.15</v>
      </c>
      <c r="B19" s="200">
        <v>16.840568510490048</v>
      </c>
      <c r="C19" s="202">
        <f t="shared" ref="C19:C26" si="0">A19</f>
        <v>-0.15</v>
      </c>
      <c r="D19" s="201">
        <v>-23.40145862597015</v>
      </c>
      <c r="E19" s="202">
        <f t="shared" ref="E19:E26" si="1">C19</f>
        <v>-0.15</v>
      </c>
      <c r="F19" s="201">
        <v>-14.794511309265841</v>
      </c>
      <c r="G19" s="202">
        <f t="shared" ref="G19:G26" si="2">A19</f>
        <v>-0.15</v>
      </c>
      <c r="H19" s="195">
        <v>22.928242735435866</v>
      </c>
      <c r="I19" s="202">
        <f t="shared" ref="I19:I26" si="3">C19</f>
        <v>-0.15</v>
      </c>
      <c r="J19" s="195">
        <v>19.190499085803932</v>
      </c>
      <c r="K19" s="202">
        <f t="shared" ref="K19:K26" si="4">E19</f>
        <v>-0.15</v>
      </c>
      <c r="L19" s="195">
        <v>18.27449840962381</v>
      </c>
      <c r="M19" s="67"/>
      <c r="N19" s="67"/>
    </row>
    <row r="20" spans="1:14" x14ac:dyDescent="0.25">
      <c r="A20" s="202">
        <v>-0.1</v>
      </c>
      <c r="B20" s="200">
        <v>16.649711942037136</v>
      </c>
      <c r="C20" s="202">
        <f t="shared" si="0"/>
        <v>-0.1</v>
      </c>
      <c r="D20" s="201">
        <v>-10.165202928939117</v>
      </c>
      <c r="E20" s="202">
        <f t="shared" si="1"/>
        <v>-0.1</v>
      </c>
      <c r="F20" s="201">
        <v>-4.4272380511362108</v>
      </c>
      <c r="G20" s="202">
        <f t="shared" si="2"/>
        <v>-0.1</v>
      </c>
      <c r="H20" s="195">
        <v>20.712866616741735</v>
      </c>
      <c r="I20" s="202">
        <f t="shared" si="3"/>
        <v>-0.1</v>
      </c>
      <c r="J20" s="195">
        <v>18.216332325579693</v>
      </c>
      <c r="K20" s="202">
        <f t="shared" si="4"/>
        <v>-0.1</v>
      </c>
      <c r="L20" s="195">
        <v>17.605665208126339</v>
      </c>
      <c r="M20" s="67"/>
      <c r="N20" s="67"/>
    </row>
    <row r="21" spans="1:14" x14ac:dyDescent="0.25">
      <c r="A21" s="202">
        <v>-0.05</v>
      </c>
      <c r="B21" s="200">
        <v>16.458861716727718</v>
      </c>
      <c r="C21" s="202">
        <f t="shared" si="0"/>
        <v>-0.05</v>
      </c>
      <c r="D21" s="201">
        <v>3.0679597808581005</v>
      </c>
      <c r="E21" s="202">
        <f t="shared" si="1"/>
        <v>-0.05</v>
      </c>
      <c r="F21" s="201">
        <v>5.9369422197595503</v>
      </c>
      <c r="G21" s="202">
        <f t="shared" si="2"/>
        <v>-0.05</v>
      </c>
      <c r="H21" s="195">
        <v>18.49257954331469</v>
      </c>
      <c r="I21" s="202">
        <f t="shared" si="3"/>
        <v>-0.05</v>
      </c>
      <c r="J21" s="195">
        <v>17.242165565355457</v>
      </c>
      <c r="K21" s="202">
        <f t="shared" si="4"/>
        <v>-0.05</v>
      </c>
      <c r="L21" s="195">
        <v>16.936832006628759</v>
      </c>
      <c r="M21" s="67"/>
      <c r="N21" s="67"/>
    </row>
    <row r="22" spans="1:14" x14ac:dyDescent="0.25">
      <c r="A22" s="202">
        <v>0</v>
      </c>
      <c r="B22" s="200">
        <v>16.267998805131221</v>
      </c>
      <c r="C22" s="202">
        <f t="shared" si="0"/>
        <v>0</v>
      </c>
      <c r="D22" s="201">
        <v>16.267998805131221</v>
      </c>
      <c r="E22" s="202">
        <f t="shared" si="1"/>
        <v>0</v>
      </c>
      <c r="F22" s="201">
        <v>16.267998805131221</v>
      </c>
      <c r="G22" s="202">
        <f t="shared" si="2"/>
        <v>0</v>
      </c>
      <c r="H22" s="195">
        <v>16.267998805131221</v>
      </c>
      <c r="I22" s="202">
        <f t="shared" si="3"/>
        <v>0</v>
      </c>
      <c r="J22" s="195">
        <v>16.267998805131221</v>
      </c>
      <c r="K22" s="202">
        <f t="shared" si="4"/>
        <v>0</v>
      </c>
      <c r="L22" s="195">
        <v>16.267998805131221</v>
      </c>
      <c r="M22" s="67"/>
      <c r="N22" s="67"/>
    </row>
    <row r="23" spans="1:14" x14ac:dyDescent="0.25">
      <c r="A23" s="202">
        <v>0.05</v>
      </c>
      <c r="B23" s="200">
        <v>16.077142236678259</v>
      </c>
      <c r="C23" s="202">
        <f t="shared" si="0"/>
        <v>0.05</v>
      </c>
      <c r="D23" s="201">
        <v>29.459027031903247</v>
      </c>
      <c r="E23" s="202">
        <f t="shared" si="1"/>
        <v>0.05</v>
      </c>
      <c r="F23" s="201">
        <v>26.590044593001796</v>
      </c>
      <c r="G23" s="202">
        <f t="shared" si="2"/>
        <v>0.05</v>
      </c>
      <c r="H23" s="195">
        <v>14.035878661686178</v>
      </c>
      <c r="I23" s="202">
        <f t="shared" si="3"/>
        <v>0.05</v>
      </c>
      <c r="J23" s="195">
        <v>15.293832044907061</v>
      </c>
      <c r="K23" s="202">
        <f t="shared" si="4"/>
        <v>0.05</v>
      </c>
      <c r="L23" s="195">
        <v>15.599165603633724</v>
      </c>
      <c r="M23" s="67"/>
      <c r="N23" s="67"/>
    </row>
    <row r="24" spans="1:14" x14ac:dyDescent="0.25">
      <c r="A24" s="202">
        <v>0.1</v>
      </c>
      <c r="B24" s="200">
        <v>15.886285668225373</v>
      </c>
      <c r="C24" s="202">
        <f t="shared" si="0"/>
        <v>0.1</v>
      </c>
      <c r="D24" s="201">
        <v>42.646530827535642</v>
      </c>
      <c r="E24" s="202">
        <f t="shared" si="1"/>
        <v>0.1</v>
      </c>
      <c r="F24" s="201">
        <v>36.908565949732768</v>
      </c>
      <c r="G24" s="202">
        <f t="shared" si="2"/>
        <v>0.1</v>
      </c>
      <c r="H24" s="195">
        <v>11.771623014237196</v>
      </c>
      <c r="I24" s="202">
        <f t="shared" si="3"/>
        <v>0.1</v>
      </c>
      <c r="J24" s="195">
        <v>14.319665284682847</v>
      </c>
      <c r="K24" s="202">
        <f t="shared" si="4"/>
        <v>0.1</v>
      </c>
      <c r="L24" s="195">
        <v>14.930332402136237</v>
      </c>
      <c r="M24" s="67"/>
      <c r="N24" s="67"/>
    </row>
    <row r="25" spans="1:14" x14ac:dyDescent="0.25">
      <c r="A25" s="202">
        <v>0.15</v>
      </c>
      <c r="B25" s="200">
        <v>15.695429099772463</v>
      </c>
      <c r="C25" s="202">
        <f t="shared" si="0"/>
        <v>0.15</v>
      </c>
      <c r="D25" s="201">
        <v>55.831054416353226</v>
      </c>
      <c r="E25" s="202">
        <f t="shared" si="1"/>
        <v>0.15</v>
      </c>
      <c r="F25" s="201">
        <v>47.224107099648961</v>
      </c>
      <c r="G25" s="202">
        <f t="shared" si="2"/>
        <v>0.15</v>
      </c>
      <c r="H25" s="195">
        <v>9.5037802887942924</v>
      </c>
      <c r="I25" s="202">
        <f t="shared" si="3"/>
        <v>0.15</v>
      </c>
      <c r="J25" s="195">
        <v>13.34549852445857</v>
      </c>
      <c r="K25" s="202">
        <f t="shared" si="4"/>
        <v>0.15</v>
      </c>
      <c r="L25" s="195">
        <v>14.261499200638678</v>
      </c>
      <c r="M25" s="67"/>
      <c r="N25" s="67"/>
    </row>
    <row r="26" spans="1:14" x14ac:dyDescent="0.25">
      <c r="A26" s="202">
        <v>0.2</v>
      </c>
      <c r="B26" s="200">
        <v>15.504572531319523</v>
      </c>
      <c r="C26" s="202">
        <f t="shared" si="0"/>
        <v>0.2</v>
      </c>
      <c r="D26" s="201">
        <v>69.011030253090041</v>
      </c>
      <c r="E26" s="202">
        <f t="shared" si="1"/>
        <v>0.2</v>
      </c>
      <c r="F26" s="201">
        <v>57.535100497484308</v>
      </c>
      <c r="G26" s="202">
        <f t="shared" si="2"/>
        <v>0.2</v>
      </c>
      <c r="H26" s="195">
        <v>7.2359375633513947</v>
      </c>
      <c r="I26" s="202">
        <f t="shared" si="3"/>
        <v>0.2</v>
      </c>
      <c r="J26" s="195">
        <v>12.371331764234371</v>
      </c>
      <c r="K26" s="202">
        <f t="shared" si="4"/>
        <v>0.2</v>
      </c>
      <c r="L26" s="195">
        <v>13.592665999141206</v>
      </c>
      <c r="M26" s="67"/>
      <c r="N26" s="67"/>
    </row>
    <row r="27" spans="1:14" x14ac:dyDescent="0.25">
      <c r="A27" s="5"/>
      <c r="B27" s="8"/>
      <c r="C27" s="5"/>
      <c r="D27" s="8"/>
      <c r="E27" s="5"/>
      <c r="F27" s="5"/>
      <c r="G27" s="5"/>
      <c r="H27" s="9"/>
      <c r="I27" s="11"/>
      <c r="J27" s="11"/>
    </row>
    <row r="28" spans="1:14" x14ac:dyDescent="0.25">
      <c r="A28" s="7" t="s">
        <v>98</v>
      </c>
      <c r="B28" s="10"/>
      <c r="D28" s="10"/>
    </row>
    <row r="29" spans="1:14" ht="52.8" x14ac:dyDescent="0.25">
      <c r="A29" s="89" t="s">
        <v>99</v>
      </c>
      <c r="B29" s="203" t="str">
        <f>A17</f>
        <v>Изменение инвестиций</v>
      </c>
      <c r="C29" s="203" t="str">
        <f>C17</f>
        <v>Изменение цен</v>
      </c>
      <c r="D29" s="203" t="str">
        <f>E17</f>
        <v>Изменение загрузки номерного фонда</v>
      </c>
      <c r="E29" s="203" t="str">
        <f>G17</f>
        <v>Изменение затрат на персонал</v>
      </c>
      <c r="F29" s="203" t="str">
        <f>I17</f>
        <v>Изменение коммерческих затрат</v>
      </c>
      <c r="G29" s="203" t="str">
        <f>K17</f>
        <v>Изменение коммунальных затрат</v>
      </c>
      <c r="H29" s="3"/>
    </row>
    <row r="30" spans="1:14" x14ac:dyDescent="0.25">
      <c r="A30" s="213">
        <f>A18</f>
        <v>-0.2</v>
      </c>
      <c r="B30" s="204">
        <f>B18</f>
        <v>17.031425078942966</v>
      </c>
      <c r="C30" s="204">
        <f t="shared" ref="C30:C38" si="5">D18</f>
        <v>-36.643124013369722</v>
      </c>
      <c r="D30" s="204">
        <f t="shared" ref="D30:D38" si="6">F18</f>
        <v>-25.167194257763938</v>
      </c>
      <c r="E30" s="204">
        <f t="shared" ref="E30:E38" si="7">H18</f>
        <v>25.128543173078302</v>
      </c>
      <c r="F30" s="204">
        <f>J18</f>
        <v>20.164665846028118</v>
      </c>
      <c r="G30" s="204">
        <f>L18</f>
        <v>18.943331611121323</v>
      </c>
      <c r="H30" s="3"/>
    </row>
    <row r="31" spans="1:14" x14ac:dyDescent="0.25">
      <c r="A31" s="213">
        <f t="shared" ref="A31:A38" si="8">A19</f>
        <v>-0.15</v>
      </c>
      <c r="B31" s="204">
        <f t="shared" ref="B31:B38" si="9">B19</f>
        <v>16.840568510490048</v>
      </c>
      <c r="C31" s="204">
        <f t="shared" si="5"/>
        <v>-23.40145862597015</v>
      </c>
      <c r="D31" s="204">
        <f t="shared" si="6"/>
        <v>-14.794511309265841</v>
      </c>
      <c r="E31" s="204">
        <f t="shared" si="7"/>
        <v>22.928242735435866</v>
      </c>
      <c r="F31" s="204">
        <f t="shared" ref="F31:F38" si="10">J19</f>
        <v>19.190499085803932</v>
      </c>
      <c r="G31" s="204">
        <f t="shared" ref="G31:G38" si="11">L19</f>
        <v>18.27449840962381</v>
      </c>
      <c r="H31" s="3"/>
    </row>
    <row r="32" spans="1:14" x14ac:dyDescent="0.25">
      <c r="A32" s="213">
        <f t="shared" si="8"/>
        <v>-0.1</v>
      </c>
      <c r="B32" s="204">
        <f t="shared" si="9"/>
        <v>16.649711942037136</v>
      </c>
      <c r="C32" s="204">
        <f t="shared" si="5"/>
        <v>-10.165202928939117</v>
      </c>
      <c r="D32" s="204">
        <f t="shared" si="6"/>
        <v>-4.4272380511362108</v>
      </c>
      <c r="E32" s="204">
        <f t="shared" si="7"/>
        <v>20.712866616741735</v>
      </c>
      <c r="F32" s="204">
        <f t="shared" si="10"/>
        <v>18.216332325579693</v>
      </c>
      <c r="G32" s="204">
        <f t="shared" si="11"/>
        <v>17.605665208126339</v>
      </c>
      <c r="H32" s="3"/>
    </row>
    <row r="33" spans="1:8" x14ac:dyDescent="0.25">
      <c r="A33" s="213">
        <f t="shared" si="8"/>
        <v>-0.05</v>
      </c>
      <c r="B33" s="204">
        <f t="shared" si="9"/>
        <v>16.458861716727718</v>
      </c>
      <c r="C33" s="204">
        <f t="shared" si="5"/>
        <v>3.0679597808581005</v>
      </c>
      <c r="D33" s="204">
        <f t="shared" si="6"/>
        <v>5.9369422197595503</v>
      </c>
      <c r="E33" s="204">
        <f t="shared" si="7"/>
        <v>18.49257954331469</v>
      </c>
      <c r="F33" s="204">
        <f t="shared" si="10"/>
        <v>17.242165565355457</v>
      </c>
      <c r="G33" s="204">
        <f t="shared" si="11"/>
        <v>16.936832006628759</v>
      </c>
      <c r="H33" s="3"/>
    </row>
    <row r="34" spans="1:8" x14ac:dyDescent="0.25">
      <c r="A34" s="213">
        <f t="shared" si="8"/>
        <v>0</v>
      </c>
      <c r="B34" s="204">
        <f t="shared" si="9"/>
        <v>16.267998805131221</v>
      </c>
      <c r="C34" s="204">
        <f t="shared" si="5"/>
        <v>16.267998805131221</v>
      </c>
      <c r="D34" s="204">
        <f t="shared" si="6"/>
        <v>16.267998805131221</v>
      </c>
      <c r="E34" s="204">
        <f t="shared" si="7"/>
        <v>16.267998805131221</v>
      </c>
      <c r="F34" s="204">
        <f t="shared" si="10"/>
        <v>16.267998805131221</v>
      </c>
      <c r="G34" s="204">
        <f t="shared" si="11"/>
        <v>16.267998805131221</v>
      </c>
      <c r="H34" s="3"/>
    </row>
    <row r="35" spans="1:8" x14ac:dyDescent="0.25">
      <c r="A35" s="213">
        <f t="shared" si="8"/>
        <v>0.05</v>
      </c>
      <c r="B35" s="204">
        <f t="shared" si="9"/>
        <v>16.077142236678259</v>
      </c>
      <c r="C35" s="204">
        <f t="shared" si="5"/>
        <v>29.459027031903247</v>
      </c>
      <c r="D35" s="204">
        <f t="shared" si="6"/>
        <v>26.590044593001796</v>
      </c>
      <c r="E35" s="204">
        <f t="shared" si="7"/>
        <v>14.035878661686178</v>
      </c>
      <c r="F35" s="204">
        <f t="shared" si="10"/>
        <v>15.293832044907061</v>
      </c>
      <c r="G35" s="204">
        <f t="shared" si="11"/>
        <v>15.599165603633724</v>
      </c>
      <c r="H35" s="3"/>
    </row>
    <row r="36" spans="1:8" x14ac:dyDescent="0.25">
      <c r="A36" s="213">
        <f t="shared" si="8"/>
        <v>0.1</v>
      </c>
      <c r="B36" s="204">
        <f t="shared" si="9"/>
        <v>15.886285668225373</v>
      </c>
      <c r="C36" s="204">
        <f t="shared" si="5"/>
        <v>42.646530827535642</v>
      </c>
      <c r="D36" s="204">
        <f t="shared" si="6"/>
        <v>36.908565949732768</v>
      </c>
      <c r="E36" s="204">
        <f t="shared" si="7"/>
        <v>11.771623014237196</v>
      </c>
      <c r="F36" s="204">
        <f t="shared" si="10"/>
        <v>14.319665284682847</v>
      </c>
      <c r="G36" s="204">
        <f t="shared" si="11"/>
        <v>14.930332402136237</v>
      </c>
      <c r="H36" s="3"/>
    </row>
    <row r="37" spans="1:8" x14ac:dyDescent="0.25">
      <c r="A37" s="213">
        <f t="shared" si="8"/>
        <v>0.15</v>
      </c>
      <c r="B37" s="204">
        <f t="shared" si="9"/>
        <v>15.695429099772463</v>
      </c>
      <c r="C37" s="204">
        <f t="shared" si="5"/>
        <v>55.831054416353226</v>
      </c>
      <c r="D37" s="204">
        <f t="shared" si="6"/>
        <v>47.224107099648961</v>
      </c>
      <c r="E37" s="204">
        <f t="shared" si="7"/>
        <v>9.5037802887942924</v>
      </c>
      <c r="F37" s="204">
        <f t="shared" si="10"/>
        <v>13.34549852445857</v>
      </c>
      <c r="G37" s="204">
        <f t="shared" si="11"/>
        <v>14.261499200638678</v>
      </c>
      <c r="H37" s="3"/>
    </row>
    <row r="38" spans="1:8" x14ac:dyDescent="0.25">
      <c r="A38" s="213">
        <f t="shared" si="8"/>
        <v>0.2</v>
      </c>
      <c r="B38" s="204">
        <f t="shared" si="9"/>
        <v>15.504572531319523</v>
      </c>
      <c r="C38" s="204">
        <f t="shared" si="5"/>
        <v>69.011030253090041</v>
      </c>
      <c r="D38" s="204">
        <f t="shared" si="6"/>
        <v>57.535100497484308</v>
      </c>
      <c r="E38" s="204">
        <f t="shared" si="7"/>
        <v>7.2359375633513947</v>
      </c>
      <c r="F38" s="204">
        <f t="shared" si="10"/>
        <v>12.371331764234371</v>
      </c>
      <c r="G38" s="204">
        <f t="shared" si="11"/>
        <v>13.592665999141206</v>
      </c>
      <c r="H38" s="3"/>
    </row>
    <row r="51" spans="3:3" x14ac:dyDescent="0.25">
      <c r="C51" s="75"/>
    </row>
  </sheetData>
  <pageMargins left="0.7" right="0.7" top="0.75" bottom="0.75" header="0.3" footer="0.3"/>
  <pageSetup paperSize="9" orientation="portrait" horizontalDpi="4294967293" verticalDpi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"/>
  <sheetViews>
    <sheetView zoomScale="80" zoomScaleNormal="80" workbookViewId="0">
      <selection activeCell="G83" sqref="G83"/>
    </sheetView>
  </sheetViews>
  <sheetFormatPr defaultRowHeight="13.2" x14ac:dyDescent="0.25"/>
  <cols>
    <col min="1" max="1" width="94.77734375" bestFit="1" customWidth="1"/>
    <col min="2" max="2" width="22.33203125" bestFit="1" customWidth="1"/>
    <col min="3" max="3" width="20.6640625" customWidth="1"/>
    <col min="4" max="4" width="17.44140625" customWidth="1"/>
    <col min="5" max="5" width="17.109375" bestFit="1" customWidth="1"/>
    <col min="6" max="6" width="14.44140625" bestFit="1" customWidth="1"/>
    <col min="7" max="7" width="17.109375" bestFit="1" customWidth="1"/>
    <col min="8" max="8" width="14.44140625" bestFit="1" customWidth="1"/>
    <col min="9" max="9" width="17.109375" bestFit="1" customWidth="1"/>
    <col min="10" max="10" width="17.77734375" customWidth="1"/>
  </cols>
  <sheetData>
    <row r="1" spans="1:10" ht="28.2" x14ac:dyDescent="0.25">
      <c r="A1" s="292" t="s">
        <v>400</v>
      </c>
      <c r="B1" s="511" t="s">
        <v>401</v>
      </c>
      <c r="C1" s="512"/>
      <c r="D1" s="513"/>
      <c r="E1" s="293"/>
      <c r="F1" s="293"/>
      <c r="G1" s="293"/>
      <c r="H1" s="293"/>
      <c r="I1" s="293"/>
      <c r="J1" s="293"/>
    </row>
    <row r="2" spans="1:10" ht="28.2" x14ac:dyDescent="0.25">
      <c r="A2" s="294"/>
      <c r="B2" s="514" t="s">
        <v>402</v>
      </c>
      <c r="C2" s="515"/>
      <c r="D2" s="516"/>
      <c r="E2" s="293"/>
      <c r="F2" s="293"/>
      <c r="G2" s="293"/>
      <c r="H2" s="293"/>
      <c r="I2" s="293"/>
      <c r="J2" s="293"/>
    </row>
    <row r="3" spans="1:10" ht="28.2" x14ac:dyDescent="0.25">
      <c r="A3" s="294" t="s">
        <v>403</v>
      </c>
      <c r="B3" s="514">
        <v>2</v>
      </c>
      <c r="C3" s="515"/>
      <c r="D3" s="516"/>
      <c r="E3" s="293"/>
      <c r="F3" s="293"/>
      <c r="G3" s="293"/>
      <c r="H3" s="293"/>
      <c r="I3" s="293"/>
      <c r="J3" s="293"/>
    </row>
    <row r="4" spans="1:10" ht="13.8" x14ac:dyDescent="0.25">
      <c r="A4" s="295"/>
      <c r="B4" s="295" t="s">
        <v>404</v>
      </c>
      <c r="C4" s="295" t="s">
        <v>397</v>
      </c>
      <c r="D4" s="295" t="s">
        <v>405</v>
      </c>
      <c r="E4" s="293"/>
      <c r="F4" s="293"/>
      <c r="G4" s="293"/>
      <c r="H4" s="293"/>
      <c r="I4" s="293"/>
      <c r="J4" s="293"/>
    </row>
    <row r="5" spans="1:10" ht="13.8" x14ac:dyDescent="0.25">
      <c r="A5" s="295" t="s">
        <v>406</v>
      </c>
      <c r="B5" s="296">
        <f>C5*D5</f>
        <v>885000</v>
      </c>
      <c r="C5" s="295">
        <v>1</v>
      </c>
      <c r="D5" s="296">
        <v>885000</v>
      </c>
      <c r="E5" s="293"/>
      <c r="F5" s="293"/>
      <c r="G5" s="293"/>
      <c r="H5" s="293"/>
      <c r="I5" s="293"/>
      <c r="J5" s="293"/>
    </row>
    <row r="6" spans="1:10" ht="13.8" x14ac:dyDescent="0.25">
      <c r="A6" s="517" t="s">
        <v>407</v>
      </c>
      <c r="B6" s="518"/>
      <c r="C6" s="518"/>
      <c r="D6" s="519"/>
      <c r="E6" s="293"/>
      <c r="F6" s="293"/>
      <c r="G6" s="293"/>
      <c r="H6" s="293"/>
      <c r="I6" s="293"/>
      <c r="J6" s="293"/>
    </row>
    <row r="7" spans="1:10" ht="13.8" x14ac:dyDescent="0.25">
      <c r="A7" s="295" t="s">
        <v>408</v>
      </c>
      <c r="B7" s="296">
        <f t="shared" ref="B7:B9" si="0">C7*D7</f>
        <v>10000</v>
      </c>
      <c r="C7" s="295">
        <v>1</v>
      </c>
      <c r="D7" s="296">
        <v>10000</v>
      </c>
      <c r="E7" s="293"/>
      <c r="F7" s="293"/>
      <c r="G7" s="293"/>
      <c r="H7" s="293"/>
      <c r="I7" s="293"/>
      <c r="J7" s="293"/>
    </row>
    <row r="8" spans="1:10" ht="13.8" x14ac:dyDescent="0.25">
      <c r="A8" s="297" t="s">
        <v>409</v>
      </c>
      <c r="B8" s="296">
        <f t="shared" si="0"/>
        <v>1000</v>
      </c>
      <c r="C8" s="295">
        <v>1</v>
      </c>
      <c r="D8" s="296">
        <v>1000</v>
      </c>
      <c r="E8" s="293"/>
      <c r="F8" s="293"/>
      <c r="G8" s="293"/>
      <c r="H8" s="293"/>
      <c r="I8" s="293"/>
      <c r="J8" s="293"/>
    </row>
    <row r="9" spans="1:10" ht="13.8" x14ac:dyDescent="0.25">
      <c r="A9" s="295" t="s">
        <v>410</v>
      </c>
      <c r="B9" s="296">
        <f t="shared" si="0"/>
        <v>2500</v>
      </c>
      <c r="C9" s="295">
        <v>1</v>
      </c>
      <c r="D9" s="296">
        <v>2500</v>
      </c>
      <c r="E9" s="293"/>
      <c r="F9" s="293"/>
      <c r="G9" s="293"/>
      <c r="H9" s="293"/>
      <c r="I9" s="293"/>
      <c r="J9" s="293"/>
    </row>
    <row r="10" spans="1:10" ht="27.6" customHeight="1" x14ac:dyDescent="0.25">
      <c r="A10" s="520" t="s">
        <v>411</v>
      </c>
      <c r="B10" s="521"/>
      <c r="C10" s="521"/>
      <c r="D10" s="522"/>
    </row>
    <row r="11" spans="1:10" ht="13.8" x14ac:dyDescent="0.25">
      <c r="A11" s="295" t="s">
        <v>412</v>
      </c>
      <c r="B11" s="523">
        <f>C11*D11</f>
        <v>68000</v>
      </c>
      <c r="C11" s="524">
        <v>1</v>
      </c>
      <c r="D11" s="523">
        <v>68000</v>
      </c>
      <c r="E11" s="509"/>
      <c r="F11" s="509"/>
      <c r="G11" s="509"/>
      <c r="H11" s="509"/>
      <c r="I11" s="509"/>
      <c r="J11" s="509"/>
    </row>
    <row r="12" spans="1:10" ht="13.8" x14ac:dyDescent="0.25">
      <c r="A12" s="295" t="s">
        <v>413</v>
      </c>
      <c r="B12" s="523"/>
      <c r="C12" s="524"/>
      <c r="D12" s="523"/>
      <c r="E12" s="510"/>
      <c r="F12" s="510"/>
      <c r="G12" s="510"/>
      <c r="H12" s="510"/>
      <c r="I12" s="510"/>
      <c r="J12" s="510"/>
    </row>
    <row r="13" spans="1:10" ht="13.8" x14ac:dyDescent="0.25">
      <c r="A13" s="295" t="s">
        <v>414</v>
      </c>
      <c r="B13" s="523"/>
      <c r="C13" s="524"/>
      <c r="D13" s="523"/>
      <c r="E13" s="510"/>
      <c r="F13" s="510"/>
      <c r="G13" s="510"/>
      <c r="H13" s="510"/>
      <c r="I13" s="510"/>
      <c r="J13" s="510"/>
    </row>
    <row r="14" spans="1:10" ht="13.8" x14ac:dyDescent="0.25">
      <c r="A14" s="295" t="s">
        <v>415</v>
      </c>
      <c r="B14" s="523"/>
      <c r="C14" s="524"/>
      <c r="D14" s="523"/>
      <c r="E14" s="510"/>
      <c r="F14" s="510"/>
      <c r="G14" s="510"/>
      <c r="H14" s="510"/>
      <c r="I14" s="510"/>
      <c r="J14" s="510"/>
    </row>
    <row r="15" spans="1:10" ht="13.8" x14ac:dyDescent="0.25">
      <c r="A15" s="295" t="s">
        <v>416</v>
      </c>
      <c r="B15" s="523"/>
      <c r="C15" s="524"/>
      <c r="D15" s="523"/>
      <c r="E15" s="510"/>
      <c r="F15" s="510"/>
      <c r="G15" s="510"/>
      <c r="H15" s="510"/>
      <c r="I15" s="510"/>
      <c r="J15" s="510"/>
    </row>
    <row r="16" spans="1:10" ht="13.8" x14ac:dyDescent="0.25">
      <c r="A16" s="295" t="s">
        <v>417</v>
      </c>
      <c r="B16" s="523"/>
      <c r="C16" s="524"/>
      <c r="D16" s="523"/>
      <c r="E16" s="510"/>
      <c r="F16" s="510"/>
      <c r="G16" s="510"/>
      <c r="H16" s="510"/>
      <c r="I16" s="510"/>
      <c r="J16" s="510"/>
    </row>
    <row r="17" spans="1:10" ht="13.8" x14ac:dyDescent="0.25">
      <c r="A17" s="295" t="s">
        <v>410</v>
      </c>
      <c r="B17" s="523"/>
      <c r="C17" s="524"/>
      <c r="D17" s="523"/>
      <c r="E17" s="510"/>
      <c r="F17" s="510"/>
      <c r="G17" s="510"/>
      <c r="H17" s="510"/>
      <c r="I17" s="510"/>
      <c r="J17" s="510"/>
    </row>
    <row r="18" spans="1:10" ht="13.8" x14ac:dyDescent="0.25">
      <c r="A18" s="295" t="s">
        <v>418</v>
      </c>
      <c r="B18" s="523"/>
      <c r="C18" s="524"/>
      <c r="D18" s="523"/>
      <c r="E18" s="510"/>
      <c r="F18" s="510"/>
      <c r="G18" s="510"/>
      <c r="H18" s="510"/>
      <c r="I18" s="510"/>
      <c r="J18" s="510"/>
    </row>
    <row r="19" spans="1:10" ht="13.8" x14ac:dyDescent="0.25">
      <c r="A19" s="295" t="s">
        <v>419</v>
      </c>
      <c r="B19" s="523"/>
      <c r="C19" s="524"/>
      <c r="D19" s="523"/>
      <c r="E19" s="510"/>
      <c r="F19" s="510"/>
      <c r="G19" s="510"/>
      <c r="H19" s="510"/>
      <c r="I19" s="510"/>
      <c r="J19" s="510"/>
    </row>
    <row r="20" spans="1:10" ht="13.8" x14ac:dyDescent="0.25">
      <c r="A20" s="295" t="s">
        <v>420</v>
      </c>
      <c r="B20" s="523"/>
      <c r="C20" s="524"/>
      <c r="D20" s="523"/>
      <c r="E20" s="510"/>
      <c r="F20" s="510"/>
      <c r="G20" s="510"/>
      <c r="H20" s="510"/>
      <c r="I20" s="510"/>
      <c r="J20" s="510"/>
    </row>
    <row r="21" spans="1:10" ht="13.8" x14ac:dyDescent="0.25">
      <c r="A21" s="295" t="s">
        <v>421</v>
      </c>
      <c r="B21" s="523"/>
      <c r="C21" s="524"/>
      <c r="D21" s="523"/>
      <c r="E21" s="510"/>
      <c r="F21" s="510"/>
      <c r="G21" s="510"/>
      <c r="H21" s="510"/>
      <c r="I21" s="510"/>
      <c r="J21" s="510"/>
    </row>
    <row r="22" spans="1:10" ht="13.8" x14ac:dyDescent="0.25">
      <c r="A22" s="295" t="s">
        <v>422</v>
      </c>
      <c r="B22" s="523"/>
      <c r="C22" s="524"/>
      <c r="D22" s="523"/>
      <c r="E22" s="510"/>
      <c r="F22" s="510"/>
      <c r="G22" s="510"/>
      <c r="H22" s="510"/>
      <c r="I22" s="510"/>
      <c r="J22" s="510"/>
    </row>
    <row r="23" spans="1:10" ht="13.8" x14ac:dyDescent="0.25">
      <c r="A23" s="295" t="s">
        <v>423</v>
      </c>
      <c r="B23" s="523"/>
      <c r="C23" s="524"/>
      <c r="D23" s="523"/>
      <c r="E23" s="510"/>
      <c r="F23" s="510"/>
      <c r="G23" s="510"/>
      <c r="H23" s="510"/>
      <c r="I23" s="510"/>
      <c r="J23" s="510"/>
    </row>
    <row r="24" spans="1:10" ht="13.8" x14ac:dyDescent="0.25">
      <c r="A24" s="295" t="s">
        <v>424</v>
      </c>
      <c r="B24" s="523"/>
      <c r="C24" s="524"/>
      <c r="D24" s="523"/>
      <c r="E24" s="510"/>
      <c r="F24" s="510"/>
      <c r="G24" s="510"/>
      <c r="H24" s="510"/>
      <c r="I24" s="510"/>
      <c r="J24" s="510"/>
    </row>
    <row r="25" spans="1:10" ht="13.8" x14ac:dyDescent="0.25">
      <c r="A25" s="295" t="s">
        <v>425</v>
      </c>
      <c r="B25" s="523"/>
      <c r="C25" s="524"/>
      <c r="D25" s="523"/>
      <c r="E25" s="510"/>
      <c r="F25" s="510"/>
      <c r="G25" s="510"/>
      <c r="H25" s="510"/>
      <c r="I25" s="510"/>
      <c r="J25" s="510"/>
    </row>
    <row r="26" spans="1:10" ht="13.8" x14ac:dyDescent="0.25">
      <c r="A26" s="295" t="s">
        <v>426</v>
      </c>
      <c r="B26" s="523"/>
      <c r="C26" s="524"/>
      <c r="D26" s="523"/>
      <c r="E26" s="510"/>
      <c r="F26" s="510"/>
      <c r="G26" s="510"/>
      <c r="H26" s="510"/>
      <c r="I26" s="510"/>
      <c r="J26" s="510"/>
    </row>
    <row r="27" spans="1:10" ht="13.8" x14ac:dyDescent="0.25">
      <c r="A27" s="517" t="s">
        <v>427</v>
      </c>
      <c r="B27" s="518"/>
      <c r="C27" s="518"/>
      <c r="D27" s="519"/>
    </row>
    <row r="28" spans="1:10" ht="13.8" x14ac:dyDescent="0.25">
      <c r="A28" s="295" t="s">
        <v>428</v>
      </c>
      <c r="B28" s="296">
        <f>C28*D28</f>
        <v>11500</v>
      </c>
      <c r="C28" s="295">
        <v>1</v>
      </c>
      <c r="D28" s="296">
        <v>11500</v>
      </c>
    </row>
    <row r="29" spans="1:10" ht="13.8" x14ac:dyDescent="0.25">
      <c r="A29" s="295" t="s">
        <v>429</v>
      </c>
      <c r="B29" s="296">
        <f t="shared" ref="B29:B35" si="1">C29*D29</f>
        <v>13000</v>
      </c>
      <c r="C29" s="295">
        <v>1</v>
      </c>
      <c r="D29" s="296">
        <v>13000</v>
      </c>
    </row>
    <row r="30" spans="1:10" ht="13.8" x14ac:dyDescent="0.25">
      <c r="A30" s="517" t="s">
        <v>430</v>
      </c>
      <c r="B30" s="518"/>
      <c r="C30" s="518"/>
      <c r="D30" s="519"/>
    </row>
    <row r="31" spans="1:10" ht="13.8" x14ac:dyDescent="0.25">
      <c r="A31" s="295" t="s">
        <v>431</v>
      </c>
      <c r="B31" s="296">
        <f t="shared" si="1"/>
        <v>4500</v>
      </c>
      <c r="C31" s="295">
        <v>1</v>
      </c>
      <c r="D31" s="296">
        <v>4500</v>
      </c>
    </row>
    <row r="32" spans="1:10" ht="27.6" x14ac:dyDescent="0.25">
      <c r="A32" s="298" t="s">
        <v>432</v>
      </c>
      <c r="B32" s="296">
        <f t="shared" si="1"/>
        <v>32000</v>
      </c>
      <c r="C32" s="295">
        <v>1</v>
      </c>
      <c r="D32" s="296">
        <v>32000</v>
      </c>
    </row>
    <row r="33" spans="1:10" ht="13.8" x14ac:dyDescent="0.25">
      <c r="A33" s="517" t="s">
        <v>433</v>
      </c>
      <c r="B33" s="518"/>
      <c r="C33" s="518"/>
      <c r="D33" s="519"/>
    </row>
    <row r="34" spans="1:10" ht="27.6" x14ac:dyDescent="0.25">
      <c r="A34" s="298" t="s">
        <v>434</v>
      </c>
      <c r="B34" s="296">
        <f t="shared" si="1"/>
        <v>40000</v>
      </c>
      <c r="C34" s="295">
        <v>1</v>
      </c>
      <c r="D34" s="296">
        <v>40000</v>
      </c>
    </row>
    <row r="35" spans="1:10" ht="13.8" x14ac:dyDescent="0.25">
      <c r="A35" s="295" t="s">
        <v>435</v>
      </c>
      <c r="B35" s="296">
        <f t="shared" si="1"/>
        <v>7000</v>
      </c>
      <c r="C35" s="295">
        <v>1</v>
      </c>
      <c r="D35" s="296">
        <v>7000</v>
      </c>
    </row>
    <row r="36" spans="1:10" ht="13.8" x14ac:dyDescent="0.25">
      <c r="A36" s="531" t="s">
        <v>436</v>
      </c>
      <c r="B36" s="531"/>
      <c r="C36" s="531"/>
      <c r="D36" s="531"/>
      <c r="E36" s="299"/>
    </row>
    <row r="37" spans="1:10" ht="13.8" x14ac:dyDescent="0.25">
      <c r="A37" s="300" t="s">
        <v>437</v>
      </c>
      <c r="B37" s="296">
        <f>C37*D37</f>
        <v>78</v>
      </c>
      <c r="C37" s="301">
        <v>1</v>
      </c>
      <c r="D37" s="302">
        <v>78</v>
      </c>
      <c r="E37" s="303"/>
      <c r="F37" s="304"/>
      <c r="H37" s="304"/>
      <c r="J37" s="304"/>
    </row>
    <row r="38" spans="1:10" ht="13.8" x14ac:dyDescent="0.25">
      <c r="A38" s="300" t="s">
        <v>438</v>
      </c>
      <c r="B38" s="296">
        <f t="shared" ref="B38:B77" si="2">C38*D38</f>
        <v>523</v>
      </c>
      <c r="C38" s="301">
        <v>1</v>
      </c>
      <c r="D38" s="302">
        <v>523</v>
      </c>
      <c r="E38" s="303"/>
      <c r="F38" s="304"/>
      <c r="H38" s="304"/>
      <c r="J38" s="304"/>
    </row>
    <row r="39" spans="1:10" ht="13.8" x14ac:dyDescent="0.25">
      <c r="A39" s="300" t="s">
        <v>439</v>
      </c>
      <c r="B39" s="296">
        <f t="shared" si="2"/>
        <v>339.97</v>
      </c>
      <c r="C39" s="301">
        <v>1</v>
      </c>
      <c r="D39" s="302">
        <v>339.97</v>
      </c>
      <c r="E39" s="303"/>
      <c r="F39" s="304"/>
      <c r="H39" s="304"/>
      <c r="J39" s="304"/>
    </row>
    <row r="40" spans="1:10" ht="13.8" x14ac:dyDescent="0.25">
      <c r="A40" s="300" t="s">
        <v>440</v>
      </c>
      <c r="B40" s="296">
        <f t="shared" si="2"/>
        <v>339.97</v>
      </c>
      <c r="C40" s="301">
        <v>1</v>
      </c>
      <c r="D40" s="302">
        <v>339.97</v>
      </c>
      <c r="E40" s="303"/>
      <c r="F40" s="304"/>
      <c r="H40" s="304"/>
      <c r="J40" s="304"/>
    </row>
    <row r="41" spans="1:10" ht="13.8" x14ac:dyDescent="0.25">
      <c r="A41" s="300" t="s">
        <v>441</v>
      </c>
      <c r="B41" s="296">
        <f t="shared" si="2"/>
        <v>199.5</v>
      </c>
      <c r="C41" s="301">
        <v>0.5</v>
      </c>
      <c r="D41" s="302">
        <v>399</v>
      </c>
      <c r="E41" s="303"/>
      <c r="F41" s="304"/>
      <c r="H41" s="304"/>
      <c r="J41" s="304"/>
    </row>
    <row r="42" spans="1:10" ht="13.8" x14ac:dyDescent="0.25">
      <c r="A42" s="305" t="s">
        <v>442</v>
      </c>
      <c r="B42" s="296">
        <f t="shared" si="2"/>
        <v>159</v>
      </c>
      <c r="C42" s="301">
        <v>1</v>
      </c>
      <c r="D42" s="302">
        <v>159</v>
      </c>
      <c r="E42" s="303"/>
      <c r="F42" s="304"/>
      <c r="H42" s="304"/>
      <c r="J42" s="304"/>
    </row>
    <row r="43" spans="1:10" ht="13.8" x14ac:dyDescent="0.25">
      <c r="A43" s="305" t="s">
        <v>443</v>
      </c>
      <c r="B43" s="296">
        <f t="shared" si="2"/>
        <v>86</v>
      </c>
      <c r="C43" s="301">
        <v>2</v>
      </c>
      <c r="D43" s="302">
        <v>43</v>
      </c>
      <c r="E43" s="303"/>
      <c r="F43" s="304"/>
      <c r="H43" s="304"/>
      <c r="J43" s="304"/>
    </row>
    <row r="44" spans="1:10" ht="13.8" x14ac:dyDescent="0.25">
      <c r="A44" s="525" t="s">
        <v>444</v>
      </c>
      <c r="B44" s="526"/>
      <c r="C44" s="526"/>
      <c r="D44" s="527"/>
      <c r="E44" s="299"/>
      <c r="F44" s="304"/>
      <c r="H44" s="304"/>
      <c r="J44" s="304"/>
    </row>
    <row r="45" spans="1:10" ht="27.6" x14ac:dyDescent="0.25">
      <c r="A45" s="300" t="s">
        <v>445</v>
      </c>
      <c r="B45" s="296">
        <f t="shared" si="2"/>
        <v>6423</v>
      </c>
      <c r="C45" s="301">
        <v>3</v>
      </c>
      <c r="D45" s="302">
        <v>2141</v>
      </c>
      <c r="E45" s="303"/>
      <c r="F45" s="304"/>
      <c r="H45" s="304"/>
      <c r="J45" s="304"/>
    </row>
    <row r="46" spans="1:10" ht="13.8" x14ac:dyDescent="0.25">
      <c r="A46" s="301" t="s">
        <v>446</v>
      </c>
      <c r="B46" s="296">
        <f t="shared" si="2"/>
        <v>960</v>
      </c>
      <c r="C46" s="301">
        <v>6</v>
      </c>
      <c r="D46" s="302">
        <v>160</v>
      </c>
      <c r="E46" s="303"/>
      <c r="F46" s="304"/>
      <c r="H46" s="304"/>
      <c r="J46" s="304"/>
    </row>
    <row r="47" spans="1:10" ht="13.8" x14ac:dyDescent="0.25">
      <c r="A47" s="301" t="s">
        <v>447</v>
      </c>
      <c r="B47" s="296">
        <f t="shared" si="2"/>
        <v>1770</v>
      </c>
      <c r="C47" s="301">
        <v>6</v>
      </c>
      <c r="D47" s="302">
        <v>295</v>
      </c>
      <c r="E47" s="303"/>
      <c r="F47" s="304"/>
      <c r="H47" s="304"/>
      <c r="J47" s="304"/>
    </row>
    <row r="48" spans="1:10" ht="13.8" x14ac:dyDescent="0.25">
      <c r="A48" s="301" t="s">
        <v>448</v>
      </c>
      <c r="B48" s="296">
        <f t="shared" si="2"/>
        <v>1416</v>
      </c>
      <c r="C48" s="301">
        <v>6</v>
      </c>
      <c r="D48" s="302">
        <v>236</v>
      </c>
      <c r="E48" s="303"/>
      <c r="F48" s="304"/>
      <c r="H48" s="304"/>
      <c r="J48" s="304"/>
    </row>
    <row r="49" spans="1:10" ht="13.8" x14ac:dyDescent="0.25">
      <c r="A49" s="300" t="s">
        <v>449</v>
      </c>
      <c r="B49" s="296">
        <f t="shared" si="2"/>
        <v>792</v>
      </c>
      <c r="C49" s="301">
        <v>2</v>
      </c>
      <c r="D49" s="302">
        <v>396</v>
      </c>
      <c r="E49" s="303"/>
      <c r="F49" s="304"/>
      <c r="H49" s="304"/>
      <c r="J49" s="304"/>
    </row>
    <row r="50" spans="1:10" ht="13.8" x14ac:dyDescent="0.25">
      <c r="A50" s="300" t="s">
        <v>450</v>
      </c>
      <c r="B50" s="296">
        <f t="shared" si="2"/>
        <v>870</v>
      </c>
      <c r="C50" s="301">
        <v>1</v>
      </c>
      <c r="D50" s="302">
        <v>870</v>
      </c>
      <c r="E50" s="303"/>
      <c r="F50" s="304"/>
      <c r="H50" s="304"/>
      <c r="J50" s="304"/>
    </row>
    <row r="51" spans="1:10" ht="13.8" x14ac:dyDescent="0.25">
      <c r="A51" s="300" t="s">
        <v>451</v>
      </c>
      <c r="B51" s="296">
        <f t="shared" si="2"/>
        <v>1284</v>
      </c>
      <c r="C51" s="301">
        <v>1</v>
      </c>
      <c r="D51" s="302">
        <v>1284</v>
      </c>
      <c r="E51" s="303"/>
      <c r="F51" s="304"/>
      <c r="H51" s="304"/>
      <c r="J51" s="304"/>
    </row>
    <row r="52" spans="1:10" ht="27.6" x14ac:dyDescent="0.25">
      <c r="A52" s="300" t="s">
        <v>452</v>
      </c>
      <c r="B52" s="296">
        <f t="shared" si="2"/>
        <v>8380</v>
      </c>
      <c r="C52" s="301">
        <v>1</v>
      </c>
      <c r="D52" s="302">
        <v>8380</v>
      </c>
      <c r="E52" s="303"/>
      <c r="F52" s="304"/>
      <c r="H52" s="304"/>
      <c r="J52" s="304"/>
    </row>
    <row r="53" spans="1:10" ht="13.8" x14ac:dyDescent="0.25">
      <c r="A53" s="300" t="s">
        <v>453</v>
      </c>
      <c r="B53" s="296">
        <f t="shared" si="2"/>
        <v>292</v>
      </c>
      <c r="C53" s="301">
        <v>1</v>
      </c>
      <c r="D53" s="302">
        <v>292</v>
      </c>
      <c r="E53" s="303"/>
      <c r="F53" s="304"/>
      <c r="H53" s="304"/>
      <c r="J53" s="304"/>
    </row>
    <row r="54" spans="1:10" ht="13.8" x14ac:dyDescent="0.25">
      <c r="A54" s="300" t="s">
        <v>454</v>
      </c>
      <c r="B54" s="296">
        <f t="shared" si="2"/>
        <v>3540</v>
      </c>
      <c r="C54" s="301">
        <v>2</v>
      </c>
      <c r="D54" s="302">
        <v>1770</v>
      </c>
      <c r="E54" s="303"/>
      <c r="F54" s="304"/>
      <c r="H54" s="304"/>
      <c r="J54" s="304"/>
    </row>
    <row r="55" spans="1:10" ht="13.8" x14ac:dyDescent="0.25">
      <c r="A55" s="300" t="s">
        <v>455</v>
      </c>
      <c r="B55" s="296">
        <f t="shared" si="2"/>
        <v>280</v>
      </c>
      <c r="C55" s="301">
        <v>1</v>
      </c>
      <c r="D55" s="302">
        <v>280</v>
      </c>
      <c r="E55" s="303"/>
      <c r="F55" s="304"/>
      <c r="H55" s="304"/>
      <c r="J55" s="304"/>
    </row>
    <row r="56" spans="1:10" ht="13.8" x14ac:dyDescent="0.25">
      <c r="A56" s="300" t="s">
        <v>456</v>
      </c>
      <c r="B56" s="296">
        <f t="shared" si="2"/>
        <v>1389.89</v>
      </c>
      <c r="C56" s="301">
        <v>1</v>
      </c>
      <c r="D56" s="302">
        <v>1389.89</v>
      </c>
      <c r="E56" s="303"/>
      <c r="F56" s="304"/>
      <c r="H56" s="304"/>
      <c r="J56" s="304"/>
    </row>
    <row r="57" spans="1:10" ht="13.8" x14ac:dyDescent="0.25">
      <c r="A57" s="301" t="s">
        <v>457</v>
      </c>
      <c r="B57" s="296">
        <f t="shared" si="2"/>
        <v>640</v>
      </c>
      <c r="C57" s="301">
        <v>1</v>
      </c>
      <c r="D57" s="302">
        <v>640</v>
      </c>
      <c r="E57" s="303"/>
      <c r="F57" s="304"/>
      <c r="H57" s="304"/>
      <c r="J57" s="304"/>
    </row>
    <row r="58" spans="1:10" ht="13.8" x14ac:dyDescent="0.25">
      <c r="A58" s="301" t="s">
        <v>458</v>
      </c>
      <c r="B58" s="296">
        <f t="shared" si="2"/>
        <v>1199</v>
      </c>
      <c r="C58" s="301">
        <v>1</v>
      </c>
      <c r="D58" s="302">
        <v>1199</v>
      </c>
      <c r="E58" s="303"/>
      <c r="F58" s="304"/>
      <c r="H58" s="304"/>
      <c r="J58" s="304"/>
    </row>
    <row r="59" spans="1:10" ht="13.8" x14ac:dyDescent="0.25">
      <c r="A59" s="301" t="s">
        <v>459</v>
      </c>
      <c r="B59" s="296">
        <f t="shared" si="2"/>
        <v>145</v>
      </c>
      <c r="C59" s="301">
        <v>1</v>
      </c>
      <c r="D59" s="302">
        <v>145</v>
      </c>
      <c r="E59" s="303"/>
      <c r="F59" s="304"/>
      <c r="H59" s="304"/>
      <c r="J59" s="304"/>
    </row>
    <row r="60" spans="1:10" ht="13.8" x14ac:dyDescent="0.25">
      <c r="A60" s="301" t="s">
        <v>460</v>
      </c>
      <c r="B60" s="296">
        <f t="shared" si="2"/>
        <v>103</v>
      </c>
      <c r="C60" s="301">
        <v>1</v>
      </c>
      <c r="D60" s="302">
        <v>103</v>
      </c>
      <c r="E60" s="303"/>
      <c r="F60" s="304"/>
      <c r="H60" s="304"/>
      <c r="J60" s="304"/>
    </row>
    <row r="61" spans="1:10" ht="13.8" x14ac:dyDescent="0.25">
      <c r="A61" s="525" t="s">
        <v>461</v>
      </c>
      <c r="B61" s="526"/>
      <c r="C61" s="526"/>
      <c r="D61" s="527"/>
      <c r="E61" s="299"/>
      <c r="F61" s="304"/>
      <c r="H61" s="304"/>
      <c r="J61" s="304"/>
    </row>
    <row r="62" spans="1:10" ht="13.8" x14ac:dyDescent="0.25">
      <c r="A62" s="300" t="s">
        <v>462</v>
      </c>
      <c r="B62" s="296">
        <f t="shared" si="2"/>
        <v>998</v>
      </c>
      <c r="C62" s="301">
        <v>1</v>
      </c>
      <c r="D62" s="302">
        <v>998</v>
      </c>
      <c r="E62" s="303"/>
      <c r="F62" s="304"/>
      <c r="H62" s="304"/>
      <c r="J62" s="304"/>
    </row>
    <row r="63" spans="1:10" ht="13.8" x14ac:dyDescent="0.25">
      <c r="A63" s="300" t="s">
        <v>463</v>
      </c>
      <c r="B63" s="296">
        <f t="shared" si="2"/>
        <v>238</v>
      </c>
      <c r="C63" s="301">
        <v>2</v>
      </c>
      <c r="D63" s="302">
        <v>119</v>
      </c>
      <c r="E63" s="303"/>
      <c r="F63" s="304"/>
      <c r="H63" s="304"/>
      <c r="J63" s="304"/>
    </row>
    <row r="64" spans="1:10" ht="13.8" x14ac:dyDescent="0.25">
      <c r="A64" s="300" t="s">
        <v>464</v>
      </c>
      <c r="B64" s="296">
        <f t="shared" si="2"/>
        <v>199.6</v>
      </c>
      <c r="C64" s="301">
        <v>2</v>
      </c>
      <c r="D64" s="302">
        <v>99.8</v>
      </c>
      <c r="E64" s="303"/>
      <c r="F64" s="304"/>
      <c r="H64" s="304"/>
      <c r="J64" s="304"/>
    </row>
    <row r="65" spans="1:10" ht="13.8" x14ac:dyDescent="0.25">
      <c r="A65" s="300" t="s">
        <v>465</v>
      </c>
      <c r="B65" s="296">
        <f t="shared" si="2"/>
        <v>59</v>
      </c>
      <c r="C65" s="301">
        <v>1</v>
      </c>
      <c r="D65" s="302">
        <v>59</v>
      </c>
      <c r="E65" s="303"/>
      <c r="F65" s="304"/>
      <c r="H65" s="304"/>
      <c r="J65" s="304"/>
    </row>
    <row r="66" spans="1:10" ht="13.8" x14ac:dyDescent="0.25">
      <c r="A66" s="300" t="s">
        <v>466</v>
      </c>
      <c r="B66" s="296">
        <f t="shared" si="2"/>
        <v>49</v>
      </c>
      <c r="C66" s="301">
        <v>1</v>
      </c>
      <c r="D66" s="302">
        <v>49</v>
      </c>
      <c r="E66" s="303"/>
      <c r="F66" s="304"/>
      <c r="H66" s="304"/>
      <c r="J66" s="304"/>
    </row>
    <row r="67" spans="1:10" ht="13.8" x14ac:dyDescent="0.25">
      <c r="A67" s="300" t="s">
        <v>467</v>
      </c>
      <c r="B67" s="296">
        <f t="shared" si="2"/>
        <v>169.9</v>
      </c>
      <c r="C67" s="301">
        <v>1</v>
      </c>
      <c r="D67" s="302">
        <v>169.9</v>
      </c>
      <c r="E67" s="303"/>
      <c r="F67" s="304"/>
      <c r="H67" s="304"/>
      <c r="J67" s="304"/>
    </row>
    <row r="68" spans="1:10" ht="13.8" x14ac:dyDescent="0.25">
      <c r="A68" s="300" t="s">
        <v>468</v>
      </c>
      <c r="B68" s="296">
        <f t="shared" si="2"/>
        <v>299.8</v>
      </c>
      <c r="C68" s="301">
        <v>2</v>
      </c>
      <c r="D68" s="302">
        <v>149.9</v>
      </c>
      <c r="E68" s="303"/>
      <c r="F68" s="304"/>
      <c r="H68" s="304"/>
      <c r="J68" s="304"/>
    </row>
    <row r="69" spans="1:10" ht="13.8" x14ac:dyDescent="0.25">
      <c r="A69" s="300" t="s">
        <v>469</v>
      </c>
      <c r="B69" s="296">
        <f t="shared" si="2"/>
        <v>373.5</v>
      </c>
      <c r="C69" s="301">
        <v>0.5</v>
      </c>
      <c r="D69" s="302">
        <v>747</v>
      </c>
      <c r="E69" s="303"/>
      <c r="F69" s="304"/>
      <c r="H69" s="304"/>
      <c r="J69" s="304"/>
    </row>
    <row r="70" spans="1:10" ht="13.8" x14ac:dyDescent="0.25">
      <c r="A70" s="300" t="s">
        <v>470</v>
      </c>
      <c r="B70" s="296">
        <f t="shared" si="2"/>
        <v>197.99</v>
      </c>
      <c r="C70" s="301">
        <v>1</v>
      </c>
      <c r="D70" s="302">
        <v>197.99</v>
      </c>
      <c r="E70" s="303"/>
      <c r="F70" s="304"/>
      <c r="H70" s="304"/>
      <c r="J70" s="304"/>
    </row>
    <row r="71" spans="1:10" ht="13.8" x14ac:dyDescent="0.25">
      <c r="A71" s="300" t="s">
        <v>471</v>
      </c>
      <c r="B71" s="296">
        <f t="shared" si="2"/>
        <v>124</v>
      </c>
      <c r="C71" s="301">
        <v>1</v>
      </c>
      <c r="D71" s="302">
        <v>124</v>
      </c>
      <c r="E71" s="303"/>
      <c r="F71" s="304"/>
      <c r="H71" s="304"/>
      <c r="J71" s="304"/>
    </row>
    <row r="72" spans="1:10" ht="13.8" x14ac:dyDescent="0.25">
      <c r="A72" s="305" t="s">
        <v>472</v>
      </c>
      <c r="B72" s="296">
        <f t="shared" si="2"/>
        <v>159</v>
      </c>
      <c r="C72" s="301">
        <v>1</v>
      </c>
      <c r="D72" s="302">
        <v>159</v>
      </c>
      <c r="E72" s="303"/>
      <c r="F72" s="304"/>
      <c r="H72" s="304"/>
      <c r="J72" s="304"/>
    </row>
    <row r="73" spans="1:10" ht="13.8" x14ac:dyDescent="0.25">
      <c r="A73" s="525" t="s">
        <v>473</v>
      </c>
      <c r="B73" s="526"/>
      <c r="C73" s="526"/>
      <c r="D73" s="527"/>
      <c r="E73" s="299"/>
      <c r="F73" s="304"/>
      <c r="H73" s="304"/>
      <c r="J73" s="304"/>
    </row>
    <row r="74" spans="1:10" ht="13.8" x14ac:dyDescent="0.25">
      <c r="A74" s="301" t="s">
        <v>474</v>
      </c>
      <c r="B74" s="296">
        <f t="shared" si="2"/>
        <v>6731</v>
      </c>
      <c r="C74" s="301">
        <v>1</v>
      </c>
      <c r="D74" s="302">
        <v>6731</v>
      </c>
      <c r="E74" s="303"/>
      <c r="F74" s="304"/>
      <c r="H74" s="304"/>
      <c r="J74" s="304"/>
    </row>
    <row r="75" spans="1:10" ht="13.8" x14ac:dyDescent="0.25">
      <c r="A75" s="301" t="s">
        <v>475</v>
      </c>
      <c r="B75" s="296">
        <f t="shared" si="2"/>
        <v>560</v>
      </c>
      <c r="C75" s="301">
        <v>1</v>
      </c>
      <c r="D75" s="302">
        <v>560</v>
      </c>
      <c r="E75" s="303"/>
      <c r="F75" s="304"/>
      <c r="H75" s="304"/>
      <c r="J75" s="304"/>
    </row>
    <row r="76" spans="1:10" ht="13.8" x14ac:dyDescent="0.25">
      <c r="A76" s="301" t="s">
        <v>476</v>
      </c>
      <c r="B76" s="296">
        <f t="shared" si="2"/>
        <v>720</v>
      </c>
      <c r="C76" s="301">
        <v>1</v>
      </c>
      <c r="D76" s="302">
        <v>720</v>
      </c>
      <c r="E76" s="303"/>
      <c r="F76" s="304"/>
      <c r="H76" s="304"/>
      <c r="J76" s="304"/>
    </row>
    <row r="77" spans="1:10" ht="13.8" x14ac:dyDescent="0.25">
      <c r="A77" s="306" t="s">
        <v>477</v>
      </c>
      <c r="B77" s="307">
        <f t="shared" si="2"/>
        <v>50000</v>
      </c>
      <c r="C77" s="308">
        <v>1</v>
      </c>
      <c r="D77" s="309">
        <v>50000</v>
      </c>
      <c r="E77" s="303"/>
      <c r="F77" s="304"/>
      <c r="H77" s="304"/>
      <c r="J77" s="304"/>
    </row>
    <row r="78" spans="1:10" ht="13.8" x14ac:dyDescent="0.25">
      <c r="A78" s="528"/>
      <c r="B78" s="529"/>
      <c r="C78" s="529"/>
      <c r="D78" s="530"/>
      <c r="E78" s="303"/>
      <c r="F78" s="304"/>
      <c r="H78" s="304"/>
      <c r="J78" s="304"/>
    </row>
    <row r="79" spans="1:10" ht="18" x14ac:dyDescent="0.25">
      <c r="A79" s="310" t="s">
        <v>478</v>
      </c>
      <c r="B79" s="311">
        <f>SUM(B5:B35)</f>
        <v>1074500</v>
      </c>
      <c r="C79" s="312"/>
      <c r="D79" s="313"/>
    </row>
    <row r="80" spans="1:10" ht="18" x14ac:dyDescent="0.25">
      <c r="A80" s="310" t="s">
        <v>479</v>
      </c>
      <c r="B80" s="311">
        <f>SUM(B37:B77)</f>
        <v>92088.12</v>
      </c>
      <c r="C80" s="312"/>
      <c r="D80" s="313"/>
    </row>
    <row r="81" spans="1:4" ht="18" x14ac:dyDescent="0.25">
      <c r="A81" s="310" t="s">
        <v>480</v>
      </c>
      <c r="B81" s="311">
        <f>B79+SUM(B37:B77)</f>
        <v>1166588.1200000001</v>
      </c>
      <c r="C81" s="314"/>
      <c r="D81" s="315"/>
    </row>
    <row r="83" spans="1:4" x14ac:dyDescent="0.25">
      <c r="C83" s="316"/>
    </row>
    <row r="84" spans="1:4" x14ac:dyDescent="0.25">
      <c r="C84" s="316"/>
    </row>
  </sheetData>
  <mergeCells count="22">
    <mergeCell ref="A73:D73"/>
    <mergeCell ref="A78:D78"/>
    <mergeCell ref="A27:D27"/>
    <mergeCell ref="A30:D30"/>
    <mergeCell ref="A33:D33"/>
    <mergeCell ref="A36:D36"/>
    <mergeCell ref="A44:D44"/>
    <mergeCell ref="A61:D61"/>
    <mergeCell ref="J11:J26"/>
    <mergeCell ref="B1:D1"/>
    <mergeCell ref="B2:D2"/>
    <mergeCell ref="B3:D3"/>
    <mergeCell ref="A6:D6"/>
    <mergeCell ref="A10:D10"/>
    <mergeCell ref="B11:B26"/>
    <mergeCell ref="C11:C26"/>
    <mergeCell ref="D11:D26"/>
    <mergeCell ref="E11:E26"/>
    <mergeCell ref="F11:F26"/>
    <mergeCell ref="G11:G26"/>
    <mergeCell ref="H11:H26"/>
    <mergeCell ref="I11:I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8"/>
  <sheetViews>
    <sheetView workbookViewId="0">
      <selection activeCell="J63" sqref="J63"/>
    </sheetView>
  </sheetViews>
  <sheetFormatPr defaultRowHeight="13.2" x14ac:dyDescent="0.25"/>
  <cols>
    <col min="2" max="2" width="16.6640625" customWidth="1"/>
    <col min="3" max="3" width="57.109375" style="221" customWidth="1"/>
    <col min="4" max="4" width="11.109375" customWidth="1"/>
    <col min="5" max="5" width="16.44140625" customWidth="1"/>
    <col min="7" max="7" width="47.33203125" customWidth="1"/>
    <col min="8" max="8" width="12" customWidth="1"/>
  </cols>
  <sheetData>
    <row r="1" spans="1:8" x14ac:dyDescent="0.25">
      <c r="A1" s="238" t="s">
        <v>208</v>
      </c>
      <c r="B1" s="238"/>
      <c r="C1" s="240"/>
      <c r="D1" s="238"/>
      <c r="E1" s="238" t="s">
        <v>211</v>
      </c>
    </row>
    <row r="2" spans="1:8" x14ac:dyDescent="0.25">
      <c r="A2" s="238"/>
      <c r="B2" s="238" t="s">
        <v>92</v>
      </c>
      <c r="C2" s="240" t="s">
        <v>209</v>
      </c>
      <c r="D2" s="238" t="s">
        <v>210</v>
      </c>
      <c r="E2" s="238"/>
    </row>
    <row r="3" spans="1:8" x14ac:dyDescent="0.25">
      <c r="A3" s="238"/>
      <c r="B3" s="238"/>
      <c r="C3" s="240" t="s">
        <v>212</v>
      </c>
      <c r="D3" s="238"/>
      <c r="E3" s="238"/>
      <c r="G3" t="s">
        <v>280</v>
      </c>
    </row>
    <row r="4" spans="1:8" x14ac:dyDescent="0.25">
      <c r="A4" s="238"/>
      <c r="B4" s="238"/>
      <c r="C4" s="240"/>
      <c r="D4" s="238"/>
      <c r="E4" s="238"/>
      <c r="G4" t="s">
        <v>214</v>
      </c>
      <c r="H4">
        <v>1</v>
      </c>
    </row>
    <row r="5" spans="1:8" x14ac:dyDescent="0.25">
      <c r="A5" s="238" t="s">
        <v>222</v>
      </c>
      <c r="B5" s="238"/>
      <c r="C5" s="240"/>
      <c r="D5" s="238"/>
      <c r="E5" s="238"/>
      <c r="G5" t="s">
        <v>216</v>
      </c>
    </row>
    <row r="6" spans="1:8" x14ac:dyDescent="0.25">
      <c r="A6" s="238"/>
      <c r="B6" s="238"/>
      <c r="C6" s="240" t="s">
        <v>223</v>
      </c>
      <c r="D6" s="238" t="s">
        <v>215</v>
      </c>
      <c r="E6" s="238" t="s">
        <v>224</v>
      </c>
      <c r="G6" t="s">
        <v>217</v>
      </c>
    </row>
    <row r="7" spans="1:8" x14ac:dyDescent="0.25">
      <c r="A7" s="238"/>
      <c r="B7" s="238" t="s">
        <v>213</v>
      </c>
      <c r="C7" s="240"/>
      <c r="D7" s="238"/>
      <c r="E7" s="238"/>
      <c r="G7" t="s">
        <v>281</v>
      </c>
      <c r="H7">
        <v>3</v>
      </c>
    </row>
    <row r="8" spans="1:8" x14ac:dyDescent="0.25">
      <c r="A8" s="238">
        <v>112</v>
      </c>
      <c r="B8" s="238"/>
      <c r="C8" s="240"/>
      <c r="D8" s="238"/>
      <c r="E8" s="238"/>
      <c r="G8" t="s">
        <v>282</v>
      </c>
      <c r="H8">
        <v>1</v>
      </c>
    </row>
    <row r="9" spans="1:8" x14ac:dyDescent="0.25">
      <c r="A9" s="238"/>
      <c r="B9" s="238"/>
      <c r="C9" s="240" t="s">
        <v>225</v>
      </c>
      <c r="D9" s="238" t="s">
        <v>215</v>
      </c>
      <c r="E9" s="238" t="s">
        <v>224</v>
      </c>
      <c r="G9" t="s">
        <v>283</v>
      </c>
      <c r="H9">
        <v>4</v>
      </c>
    </row>
    <row r="10" spans="1:8" x14ac:dyDescent="0.25">
      <c r="A10" s="238"/>
      <c r="B10" s="238" t="s">
        <v>213</v>
      </c>
      <c r="C10" s="240"/>
      <c r="D10" s="238"/>
      <c r="E10" s="238"/>
      <c r="G10" t="s">
        <v>284</v>
      </c>
      <c r="H10">
        <v>2</v>
      </c>
    </row>
    <row r="11" spans="1:8" x14ac:dyDescent="0.25">
      <c r="A11" s="238">
        <v>113</v>
      </c>
      <c r="B11" s="238"/>
      <c r="C11" s="240"/>
      <c r="D11" s="238"/>
      <c r="E11" s="238"/>
      <c r="G11" s="240" t="s">
        <v>285</v>
      </c>
      <c r="H11">
        <v>1</v>
      </c>
    </row>
    <row r="12" spans="1:8" x14ac:dyDescent="0.25">
      <c r="A12" s="238"/>
      <c r="B12" s="238"/>
      <c r="C12" s="240" t="s">
        <v>226</v>
      </c>
      <c r="D12" s="238" t="s">
        <v>215</v>
      </c>
      <c r="E12" s="238">
        <v>284.74</v>
      </c>
      <c r="G12" t="s">
        <v>286</v>
      </c>
      <c r="H12">
        <v>2</v>
      </c>
    </row>
    <row r="13" spans="1:8" x14ac:dyDescent="0.25">
      <c r="A13" s="238"/>
      <c r="B13" s="238" t="s">
        <v>213</v>
      </c>
      <c r="C13" s="240"/>
      <c r="D13" s="238"/>
      <c r="E13" s="238"/>
      <c r="G13" s="240" t="s">
        <v>218</v>
      </c>
      <c r="H13">
        <v>1</v>
      </c>
    </row>
    <row r="14" spans="1:8" x14ac:dyDescent="0.25">
      <c r="A14" s="238">
        <v>114</v>
      </c>
      <c r="B14" s="238"/>
      <c r="C14" s="240"/>
      <c r="D14" s="238"/>
      <c r="E14" s="238"/>
      <c r="G14" t="s">
        <v>287</v>
      </c>
      <c r="H14">
        <v>5</v>
      </c>
    </row>
    <row r="15" spans="1:8" x14ac:dyDescent="0.25">
      <c r="A15" s="238"/>
      <c r="B15" s="238"/>
      <c r="C15" s="240" t="s">
        <v>227</v>
      </c>
      <c r="D15" s="238" t="s">
        <v>215</v>
      </c>
      <c r="E15" s="238" t="s">
        <v>228</v>
      </c>
      <c r="G15" t="s">
        <v>219</v>
      </c>
      <c r="H15">
        <v>1</v>
      </c>
    </row>
    <row r="16" spans="1:8" x14ac:dyDescent="0.25">
      <c r="A16" s="238"/>
      <c r="B16" s="238" t="s">
        <v>213</v>
      </c>
      <c r="C16" s="240"/>
      <c r="D16" s="238"/>
      <c r="E16" s="238"/>
      <c r="G16" t="s">
        <v>288</v>
      </c>
      <c r="H16">
        <v>3</v>
      </c>
    </row>
    <row r="17" spans="1:8" x14ac:dyDescent="0.25">
      <c r="A17" s="238">
        <v>115</v>
      </c>
      <c r="B17" s="238"/>
      <c r="C17" s="240"/>
      <c r="D17" s="238"/>
      <c r="E17" s="238"/>
      <c r="G17" s="238" t="s">
        <v>289</v>
      </c>
      <c r="H17">
        <v>17</v>
      </c>
    </row>
    <row r="18" spans="1:8" x14ac:dyDescent="0.25">
      <c r="A18" s="238"/>
      <c r="B18" s="238"/>
      <c r="C18" s="240" t="s">
        <v>229</v>
      </c>
      <c r="D18" s="238" t="s">
        <v>215</v>
      </c>
      <c r="E18" s="238" t="s">
        <v>230</v>
      </c>
      <c r="G18" t="s">
        <v>290</v>
      </c>
      <c r="H18">
        <v>1</v>
      </c>
    </row>
    <row r="19" spans="1:8" x14ac:dyDescent="0.25">
      <c r="A19" s="238"/>
      <c r="B19" s="238" t="s">
        <v>213</v>
      </c>
      <c r="C19" s="240"/>
      <c r="D19" s="238"/>
      <c r="E19" s="238"/>
      <c r="G19" t="s">
        <v>291</v>
      </c>
      <c r="H19">
        <v>1</v>
      </c>
    </row>
    <row r="20" spans="1:8" x14ac:dyDescent="0.25">
      <c r="A20" s="238">
        <v>116</v>
      </c>
      <c r="B20" s="238"/>
      <c r="C20" s="240"/>
      <c r="D20" s="238"/>
      <c r="E20" s="238"/>
      <c r="G20" s="238" t="s">
        <v>292</v>
      </c>
      <c r="H20">
        <v>1</v>
      </c>
    </row>
    <row r="21" spans="1:8" x14ac:dyDescent="0.25">
      <c r="A21" s="238"/>
      <c r="B21" s="238"/>
      <c r="C21" s="240" t="s">
        <v>231</v>
      </c>
      <c r="D21" s="238" t="s">
        <v>232</v>
      </c>
      <c r="E21" s="238">
        <v>711.86</v>
      </c>
      <c r="G21" t="s">
        <v>293</v>
      </c>
      <c r="H21">
        <v>1</v>
      </c>
    </row>
    <row r="22" spans="1:8" x14ac:dyDescent="0.25">
      <c r="A22" s="238"/>
      <c r="B22" s="238" t="s">
        <v>213</v>
      </c>
      <c r="C22" s="240"/>
      <c r="D22" s="238"/>
      <c r="E22" s="238"/>
      <c r="G22" t="s">
        <v>294</v>
      </c>
      <c r="H22">
        <v>1</v>
      </c>
    </row>
    <row r="23" spans="1:8" x14ac:dyDescent="0.25">
      <c r="A23" s="238">
        <v>117</v>
      </c>
      <c r="B23" s="238"/>
      <c r="C23" s="240"/>
      <c r="D23" s="238"/>
      <c r="E23" s="238"/>
      <c r="G23" t="s">
        <v>295</v>
      </c>
      <c r="H23">
        <v>2</v>
      </c>
    </row>
    <row r="24" spans="1:8" x14ac:dyDescent="0.25">
      <c r="A24" s="238"/>
      <c r="B24" s="238"/>
      <c r="C24" s="240" t="s">
        <v>233</v>
      </c>
      <c r="D24" s="238" t="s">
        <v>215</v>
      </c>
      <c r="E24" s="238" t="s">
        <v>234</v>
      </c>
      <c r="G24" t="s">
        <v>296</v>
      </c>
      <c r="H24">
        <v>5</v>
      </c>
    </row>
    <row r="25" spans="1:8" x14ac:dyDescent="0.25">
      <c r="A25" s="238"/>
      <c r="B25" s="238" t="s">
        <v>213</v>
      </c>
      <c r="C25" s="240"/>
      <c r="D25" s="238"/>
      <c r="E25" s="238"/>
      <c r="G25" t="s">
        <v>297</v>
      </c>
      <c r="H25">
        <v>1</v>
      </c>
    </row>
    <row r="26" spans="1:8" x14ac:dyDescent="0.25">
      <c r="A26" s="238">
        <v>118</v>
      </c>
      <c r="B26" s="238"/>
      <c r="C26" s="240"/>
      <c r="D26" s="238"/>
      <c r="E26" s="238"/>
      <c r="G26" s="238" t="s">
        <v>298</v>
      </c>
      <c r="H26">
        <v>2</v>
      </c>
    </row>
    <row r="27" spans="1:8" x14ac:dyDescent="0.25">
      <c r="A27" s="238"/>
      <c r="B27" s="238"/>
      <c r="C27" s="240" t="s">
        <v>235</v>
      </c>
      <c r="D27" s="238" t="s">
        <v>215</v>
      </c>
      <c r="E27" s="238" t="s">
        <v>236</v>
      </c>
      <c r="G27" t="s">
        <v>299</v>
      </c>
      <c r="H27">
        <v>1</v>
      </c>
    </row>
    <row r="28" spans="1:8" x14ac:dyDescent="0.25">
      <c r="A28" s="238"/>
      <c r="B28" s="238" t="s">
        <v>213</v>
      </c>
      <c r="C28" s="240"/>
      <c r="D28" s="238"/>
      <c r="E28" s="238"/>
      <c r="G28" t="s">
        <v>300</v>
      </c>
      <c r="H28">
        <v>1</v>
      </c>
    </row>
    <row r="29" spans="1:8" x14ac:dyDescent="0.25">
      <c r="A29" s="238">
        <v>119</v>
      </c>
      <c r="B29" s="238"/>
      <c r="C29" s="240"/>
      <c r="D29" s="238"/>
      <c r="E29" s="238"/>
      <c r="G29" t="s">
        <v>301</v>
      </c>
      <c r="H29">
        <v>1</v>
      </c>
    </row>
    <row r="30" spans="1:8" x14ac:dyDescent="0.25">
      <c r="A30" s="238"/>
      <c r="B30" s="238"/>
      <c r="C30" s="240" t="s">
        <v>237</v>
      </c>
      <c r="D30" s="238" t="s">
        <v>215</v>
      </c>
      <c r="E30" s="238" t="s">
        <v>238</v>
      </c>
      <c r="G30" t="s">
        <v>302</v>
      </c>
      <c r="H30">
        <v>2</v>
      </c>
    </row>
    <row r="31" spans="1:8" x14ac:dyDescent="0.25">
      <c r="A31" s="238"/>
      <c r="B31" s="238" t="s">
        <v>213</v>
      </c>
      <c r="C31" s="240"/>
      <c r="D31" s="238"/>
      <c r="E31" s="238"/>
      <c r="G31" t="s">
        <v>303</v>
      </c>
      <c r="H31">
        <v>1</v>
      </c>
    </row>
    <row r="32" spans="1:8" x14ac:dyDescent="0.25">
      <c r="A32" s="238">
        <v>120</v>
      </c>
      <c r="B32" s="238"/>
      <c r="C32" s="240"/>
      <c r="D32" s="238"/>
      <c r="E32" s="238"/>
      <c r="G32" t="s">
        <v>304</v>
      </c>
      <c r="H32">
        <v>1</v>
      </c>
    </row>
    <row r="33" spans="1:8" x14ac:dyDescent="0.25">
      <c r="A33" s="238"/>
      <c r="B33" s="238"/>
      <c r="C33" s="240" t="s">
        <v>239</v>
      </c>
      <c r="D33" s="238" t="s">
        <v>215</v>
      </c>
      <c r="E33" s="238" t="s">
        <v>240</v>
      </c>
      <c r="G33" t="s">
        <v>305</v>
      </c>
      <c r="H33">
        <v>1</v>
      </c>
    </row>
    <row r="34" spans="1:8" x14ac:dyDescent="0.25">
      <c r="A34" s="238"/>
      <c r="B34" s="238" t="s">
        <v>213</v>
      </c>
      <c r="C34" s="240"/>
      <c r="D34" s="238"/>
      <c r="E34" s="238"/>
      <c r="G34" t="s">
        <v>306</v>
      </c>
      <c r="H34">
        <v>1</v>
      </c>
    </row>
    <row r="35" spans="1:8" x14ac:dyDescent="0.25">
      <c r="A35" s="238">
        <v>121</v>
      </c>
      <c r="B35" s="238"/>
      <c r="C35" s="240"/>
      <c r="D35" s="238"/>
      <c r="E35" s="238"/>
      <c r="G35" t="s">
        <v>307</v>
      </c>
      <c r="H35">
        <v>1</v>
      </c>
    </row>
    <row r="36" spans="1:8" x14ac:dyDescent="0.25">
      <c r="A36" s="238"/>
      <c r="B36" s="238"/>
      <c r="C36" s="240" t="s">
        <v>241</v>
      </c>
      <c r="D36" s="238" t="s">
        <v>242</v>
      </c>
      <c r="E36" s="238">
        <v>427.11</v>
      </c>
      <c r="G36" t="s">
        <v>308</v>
      </c>
      <c r="H36">
        <v>5</v>
      </c>
    </row>
    <row r="37" spans="1:8" x14ac:dyDescent="0.25">
      <c r="A37" s="238"/>
      <c r="B37" s="238" t="s">
        <v>213</v>
      </c>
      <c r="C37" s="240"/>
      <c r="D37" s="238"/>
      <c r="E37" s="238"/>
      <c r="G37" t="s">
        <v>309</v>
      </c>
      <c r="H37">
        <v>1</v>
      </c>
    </row>
    <row r="38" spans="1:8" x14ac:dyDescent="0.25">
      <c r="A38" s="238">
        <v>122</v>
      </c>
      <c r="B38" s="238"/>
      <c r="C38" s="240"/>
      <c r="D38" s="238"/>
      <c r="E38" s="238"/>
      <c r="G38" t="s">
        <v>310</v>
      </c>
      <c r="H38">
        <v>2</v>
      </c>
    </row>
    <row r="39" spans="1:8" x14ac:dyDescent="0.25">
      <c r="A39" s="238"/>
      <c r="B39" s="238"/>
      <c r="C39" s="240" t="s">
        <v>243</v>
      </c>
      <c r="D39" s="238" t="s">
        <v>215</v>
      </c>
      <c r="E39" s="238" t="s">
        <v>244</v>
      </c>
      <c r="G39" t="s">
        <v>311</v>
      </c>
      <c r="H39">
        <v>4</v>
      </c>
    </row>
    <row r="40" spans="1:8" x14ac:dyDescent="0.25">
      <c r="A40" s="238"/>
      <c r="B40" s="238" t="s">
        <v>213</v>
      </c>
      <c r="C40" s="240"/>
      <c r="D40" s="238"/>
      <c r="E40" s="238"/>
      <c r="G40" t="s">
        <v>312</v>
      </c>
      <c r="H40">
        <v>4</v>
      </c>
    </row>
    <row r="41" spans="1:8" x14ac:dyDescent="0.25">
      <c r="A41" s="238">
        <v>123</v>
      </c>
      <c r="B41" s="238"/>
      <c r="C41" s="240"/>
      <c r="D41" s="238"/>
      <c r="E41" s="238"/>
      <c r="G41" t="s">
        <v>313</v>
      </c>
      <c r="H41">
        <v>1</v>
      </c>
    </row>
    <row r="42" spans="1:8" x14ac:dyDescent="0.25">
      <c r="A42" s="238"/>
      <c r="B42" s="238"/>
      <c r="C42" s="240" t="s">
        <v>243</v>
      </c>
      <c r="D42" s="238" t="s">
        <v>215</v>
      </c>
      <c r="E42" s="238">
        <v>569.49</v>
      </c>
      <c r="G42" t="s">
        <v>314</v>
      </c>
      <c r="H42">
        <v>1</v>
      </c>
    </row>
    <row r="43" spans="1:8" x14ac:dyDescent="0.25">
      <c r="A43" s="238"/>
      <c r="B43" s="238" t="s">
        <v>213</v>
      </c>
      <c r="C43" s="240"/>
      <c r="D43" s="238"/>
      <c r="E43" s="238"/>
      <c r="G43" t="s">
        <v>315</v>
      </c>
      <c r="H43">
        <v>1</v>
      </c>
    </row>
    <row r="44" spans="1:8" x14ac:dyDescent="0.25">
      <c r="A44" s="238">
        <v>124</v>
      </c>
      <c r="B44" s="238"/>
      <c r="C44" s="240"/>
      <c r="D44" s="238"/>
      <c r="E44" s="238"/>
      <c r="G44" t="s">
        <v>316</v>
      </c>
      <c r="H44">
        <v>2</v>
      </c>
    </row>
    <row r="45" spans="1:8" x14ac:dyDescent="0.25">
      <c r="A45" s="238"/>
      <c r="B45" s="238"/>
      <c r="C45" s="240" t="s">
        <v>245</v>
      </c>
      <c r="D45" s="238" t="s">
        <v>215</v>
      </c>
      <c r="E45" s="238">
        <v>427.11</v>
      </c>
      <c r="G45" t="s">
        <v>317</v>
      </c>
      <c r="H45">
        <v>1</v>
      </c>
    </row>
    <row r="46" spans="1:8" x14ac:dyDescent="0.25">
      <c r="A46" s="238"/>
      <c r="B46" s="238" t="s">
        <v>213</v>
      </c>
      <c r="C46" s="240"/>
      <c r="D46" s="238"/>
      <c r="E46" s="238"/>
      <c r="G46" t="s">
        <v>318</v>
      </c>
      <c r="H46">
        <v>1</v>
      </c>
    </row>
    <row r="47" spans="1:8" x14ac:dyDescent="0.25">
      <c r="A47" s="238">
        <v>125</v>
      </c>
      <c r="B47" s="238"/>
      <c r="C47" s="240"/>
      <c r="D47" s="238"/>
      <c r="E47" s="238"/>
      <c r="G47" t="s">
        <v>319</v>
      </c>
      <c r="H47">
        <v>2</v>
      </c>
    </row>
    <row r="48" spans="1:8" x14ac:dyDescent="0.25">
      <c r="A48" s="238"/>
      <c r="B48" s="238"/>
      <c r="C48" s="240" t="s">
        <v>246</v>
      </c>
      <c r="D48" s="238" t="s">
        <v>215</v>
      </c>
      <c r="E48" s="238" t="s">
        <v>220</v>
      </c>
      <c r="G48" t="s">
        <v>320</v>
      </c>
      <c r="H48">
        <v>1</v>
      </c>
    </row>
    <row r="49" spans="1:8" x14ac:dyDescent="0.25">
      <c r="A49" s="238"/>
      <c r="B49" s="238" t="s">
        <v>213</v>
      </c>
      <c r="C49" s="240"/>
      <c r="D49" s="238"/>
      <c r="E49" s="238"/>
      <c r="G49" t="s">
        <v>321</v>
      </c>
      <c r="H49">
        <v>2</v>
      </c>
    </row>
    <row r="50" spans="1:8" x14ac:dyDescent="0.25">
      <c r="A50" s="238">
        <v>126</v>
      </c>
      <c r="B50" s="238"/>
      <c r="C50" s="240"/>
      <c r="D50" s="238"/>
      <c r="E50" s="238"/>
      <c r="G50" t="s">
        <v>322</v>
      </c>
      <c r="H50">
        <v>1</v>
      </c>
    </row>
    <row r="51" spans="1:8" x14ac:dyDescent="0.25">
      <c r="A51" s="238"/>
      <c r="B51" s="238"/>
      <c r="C51" s="240" t="s">
        <v>247</v>
      </c>
      <c r="D51" s="238" t="s">
        <v>215</v>
      </c>
      <c r="E51" s="238" t="s">
        <v>248</v>
      </c>
      <c r="G51" t="s">
        <v>323</v>
      </c>
      <c r="H51">
        <v>1</v>
      </c>
    </row>
    <row r="52" spans="1:8" x14ac:dyDescent="0.25">
      <c r="A52" s="238"/>
      <c r="B52" s="238" t="s">
        <v>213</v>
      </c>
      <c r="C52" s="240"/>
      <c r="D52" s="238"/>
      <c r="E52" s="238"/>
      <c r="G52" t="s">
        <v>324</v>
      </c>
      <c r="H52">
        <v>12</v>
      </c>
    </row>
    <row r="53" spans="1:8" x14ac:dyDescent="0.25">
      <c r="A53" s="238">
        <v>127</v>
      </c>
      <c r="B53" s="238"/>
      <c r="C53" s="240"/>
      <c r="D53" s="238"/>
      <c r="E53" s="238"/>
      <c r="G53" t="s">
        <v>325</v>
      </c>
      <c r="H53">
        <v>7</v>
      </c>
    </row>
    <row r="54" spans="1:8" x14ac:dyDescent="0.25">
      <c r="A54" s="238"/>
      <c r="B54" s="238"/>
      <c r="C54" s="240" t="s">
        <v>249</v>
      </c>
      <c r="D54" s="238" t="s">
        <v>215</v>
      </c>
      <c r="E54" s="238" t="s">
        <v>220</v>
      </c>
      <c r="G54" t="s">
        <v>326</v>
      </c>
      <c r="H54">
        <v>1</v>
      </c>
    </row>
    <row r="55" spans="1:8" x14ac:dyDescent="0.25">
      <c r="A55" s="238"/>
      <c r="B55" s="238" t="s">
        <v>213</v>
      </c>
      <c r="C55" s="240"/>
      <c r="D55" s="238"/>
      <c r="E55" s="238"/>
    </row>
    <row r="56" spans="1:8" x14ac:dyDescent="0.25">
      <c r="A56" s="238">
        <v>128</v>
      </c>
      <c r="B56" s="238"/>
      <c r="C56" s="240"/>
      <c r="D56" s="238"/>
      <c r="E56" s="238"/>
      <c r="G56" t="s">
        <v>327</v>
      </c>
      <c r="H56">
        <v>2</v>
      </c>
    </row>
    <row r="57" spans="1:8" x14ac:dyDescent="0.25">
      <c r="A57" s="238"/>
      <c r="B57" s="238"/>
      <c r="C57" s="240" t="s">
        <v>250</v>
      </c>
      <c r="D57" s="238" t="s">
        <v>215</v>
      </c>
      <c r="E57" s="238" t="s">
        <v>251</v>
      </c>
      <c r="G57" t="s">
        <v>328</v>
      </c>
      <c r="H57">
        <v>1</v>
      </c>
    </row>
    <row r="58" spans="1:8" x14ac:dyDescent="0.25">
      <c r="A58" s="238"/>
      <c r="B58" s="238" t="s">
        <v>213</v>
      </c>
      <c r="C58" s="240"/>
      <c r="D58" s="238"/>
      <c r="E58" s="238"/>
      <c r="G58" t="s">
        <v>329</v>
      </c>
      <c r="H58">
        <v>2</v>
      </c>
    </row>
    <row r="59" spans="1:8" x14ac:dyDescent="0.25">
      <c r="A59" s="238">
        <v>129</v>
      </c>
      <c r="B59" s="238"/>
      <c r="C59" s="240"/>
      <c r="D59" s="238"/>
      <c r="E59" s="238"/>
      <c r="G59" t="s">
        <v>330</v>
      </c>
      <c r="H59">
        <v>1</v>
      </c>
    </row>
    <row r="60" spans="1:8" x14ac:dyDescent="0.25">
      <c r="A60" s="238"/>
      <c r="B60" s="238"/>
      <c r="C60" s="240" t="s">
        <v>252</v>
      </c>
      <c r="D60" s="238"/>
      <c r="E60" s="238"/>
      <c r="G60" t="s">
        <v>331</v>
      </c>
      <c r="H60">
        <v>1</v>
      </c>
    </row>
    <row r="61" spans="1:8" x14ac:dyDescent="0.25">
      <c r="A61" s="238"/>
      <c r="B61" s="238"/>
      <c r="C61" s="240"/>
      <c r="D61" s="238"/>
      <c r="E61" s="238"/>
      <c r="G61" t="s">
        <v>332</v>
      </c>
      <c r="H61">
        <v>1</v>
      </c>
    </row>
    <row r="62" spans="1:8" x14ac:dyDescent="0.25">
      <c r="A62" s="238"/>
      <c r="B62" s="238"/>
      <c r="C62" s="240" t="s">
        <v>253</v>
      </c>
      <c r="D62" s="238" t="s">
        <v>215</v>
      </c>
      <c r="E62" s="238" t="s">
        <v>254</v>
      </c>
    </row>
    <row r="63" spans="1:8" x14ac:dyDescent="0.25">
      <c r="A63" s="238"/>
      <c r="B63" s="238" t="s">
        <v>213</v>
      </c>
      <c r="C63" s="240"/>
      <c r="D63" s="238"/>
      <c r="E63" s="238"/>
      <c r="G63" t="s">
        <v>333</v>
      </c>
      <c r="H63">
        <v>1</v>
      </c>
    </row>
    <row r="64" spans="1:8" x14ac:dyDescent="0.25">
      <c r="A64" s="238">
        <v>130</v>
      </c>
      <c r="B64" s="238"/>
      <c r="C64" s="240"/>
      <c r="D64" s="238"/>
      <c r="E64" s="238"/>
      <c r="G64" t="s">
        <v>334</v>
      </c>
      <c r="H64">
        <v>1</v>
      </c>
    </row>
    <row r="65" spans="1:8" x14ac:dyDescent="0.25">
      <c r="A65" s="238"/>
      <c r="B65" s="238"/>
      <c r="C65" s="240" t="s">
        <v>255</v>
      </c>
      <c r="D65" s="238" t="s">
        <v>215</v>
      </c>
      <c r="E65" s="238" t="s">
        <v>256</v>
      </c>
      <c r="G65" t="s">
        <v>336</v>
      </c>
      <c r="H65">
        <v>1</v>
      </c>
    </row>
    <row r="66" spans="1:8" x14ac:dyDescent="0.25">
      <c r="A66" s="238"/>
      <c r="B66" s="238" t="s">
        <v>213</v>
      </c>
      <c r="C66" s="240"/>
      <c r="D66" s="238"/>
      <c r="E66" s="238"/>
    </row>
    <row r="67" spans="1:8" x14ac:dyDescent="0.25">
      <c r="A67" s="238">
        <v>131</v>
      </c>
      <c r="B67" s="238"/>
      <c r="C67" s="240"/>
      <c r="D67" s="238"/>
      <c r="E67" s="238"/>
    </row>
    <row r="68" spans="1:8" x14ac:dyDescent="0.25">
      <c r="A68" s="238"/>
      <c r="B68" s="238"/>
      <c r="C68" s="240" t="s">
        <v>257</v>
      </c>
      <c r="D68" s="238" t="s">
        <v>215</v>
      </c>
      <c r="E68" s="239">
        <v>3325.42</v>
      </c>
    </row>
    <row r="69" spans="1:8" x14ac:dyDescent="0.25">
      <c r="A69" s="238"/>
      <c r="B69" s="238" t="s">
        <v>213</v>
      </c>
      <c r="C69" s="240"/>
      <c r="D69" s="238"/>
      <c r="E69" s="238"/>
    </row>
    <row r="70" spans="1:8" x14ac:dyDescent="0.25">
      <c r="A70" s="238">
        <v>132</v>
      </c>
      <c r="B70" s="238"/>
      <c r="C70" s="240"/>
      <c r="D70" s="238"/>
      <c r="E70" s="238"/>
    </row>
    <row r="71" spans="1:8" x14ac:dyDescent="0.25">
      <c r="A71" s="238"/>
      <c r="B71" s="238"/>
      <c r="C71" s="240" t="s">
        <v>258</v>
      </c>
      <c r="D71" s="238" t="s">
        <v>215</v>
      </c>
      <c r="E71" s="238" t="s">
        <v>259</v>
      </c>
    </row>
    <row r="72" spans="1:8" x14ac:dyDescent="0.25">
      <c r="A72" s="238"/>
      <c r="B72" s="238" t="s">
        <v>213</v>
      </c>
      <c r="C72" s="240"/>
      <c r="D72" s="238"/>
      <c r="E72" s="238"/>
    </row>
    <row r="73" spans="1:8" x14ac:dyDescent="0.25">
      <c r="A73" s="238">
        <v>133</v>
      </c>
      <c r="B73" s="238"/>
      <c r="C73" s="240"/>
      <c r="D73" s="238"/>
      <c r="E73" s="238"/>
    </row>
    <row r="74" spans="1:8" x14ac:dyDescent="0.25">
      <c r="A74" s="238"/>
      <c r="B74" s="238"/>
      <c r="C74" s="240" t="s">
        <v>260</v>
      </c>
      <c r="D74" s="238" t="s">
        <v>215</v>
      </c>
      <c r="E74" s="238" t="s">
        <v>261</v>
      </c>
    </row>
    <row r="75" spans="1:8" x14ac:dyDescent="0.25">
      <c r="A75" s="238"/>
      <c r="B75" s="238" t="s">
        <v>213</v>
      </c>
      <c r="C75" s="240"/>
      <c r="D75" s="238"/>
      <c r="E75" s="238"/>
    </row>
    <row r="76" spans="1:8" x14ac:dyDescent="0.25">
      <c r="A76" s="238">
        <v>134</v>
      </c>
      <c r="B76" s="238"/>
      <c r="C76" s="240"/>
      <c r="D76" s="238"/>
      <c r="E76" s="238"/>
    </row>
    <row r="77" spans="1:8" x14ac:dyDescent="0.25">
      <c r="A77" s="238"/>
      <c r="B77" s="238"/>
      <c r="C77" s="240" t="s">
        <v>262</v>
      </c>
      <c r="D77" s="238" t="s">
        <v>215</v>
      </c>
      <c r="E77" s="238" t="s">
        <v>263</v>
      </c>
    </row>
    <row r="78" spans="1:8" x14ac:dyDescent="0.25">
      <c r="A78" s="238"/>
      <c r="B78" s="238" t="s">
        <v>213</v>
      </c>
      <c r="C78" s="240"/>
      <c r="D78" s="238"/>
      <c r="E78" s="238"/>
    </row>
    <row r="79" spans="1:8" x14ac:dyDescent="0.25">
      <c r="A79" s="238">
        <v>135</v>
      </c>
      <c r="B79" s="238"/>
      <c r="C79" s="240"/>
      <c r="D79" s="238"/>
      <c r="E79" s="238"/>
    </row>
    <row r="80" spans="1:8" x14ac:dyDescent="0.25">
      <c r="A80" s="238"/>
      <c r="B80" s="238"/>
      <c r="C80" s="240" t="s">
        <v>264</v>
      </c>
      <c r="D80" s="238" t="s">
        <v>215</v>
      </c>
      <c r="E80" s="238" t="s">
        <v>265</v>
      </c>
    </row>
    <row r="81" spans="1:5" x14ac:dyDescent="0.25">
      <c r="A81" s="238"/>
      <c r="B81" s="238" t="s">
        <v>213</v>
      </c>
      <c r="C81" s="240"/>
      <c r="D81" s="238"/>
      <c r="E81" s="238"/>
    </row>
    <row r="82" spans="1:5" x14ac:dyDescent="0.25">
      <c r="A82" s="238">
        <v>136</v>
      </c>
      <c r="B82" s="238"/>
      <c r="C82" s="240"/>
      <c r="D82" s="238"/>
      <c r="E82" s="238"/>
    </row>
    <row r="83" spans="1:5" x14ac:dyDescent="0.25">
      <c r="A83" s="238"/>
      <c r="B83" s="238"/>
      <c r="C83" s="240" t="s">
        <v>266</v>
      </c>
      <c r="D83" s="238" t="s">
        <v>215</v>
      </c>
      <c r="E83" s="238" t="s">
        <v>267</v>
      </c>
    </row>
    <row r="84" spans="1:5" x14ac:dyDescent="0.25">
      <c r="A84" s="238"/>
      <c r="B84" s="238" t="s">
        <v>213</v>
      </c>
      <c r="C84" s="240"/>
      <c r="D84" s="238"/>
      <c r="E84" s="238"/>
    </row>
    <row r="85" spans="1:5" x14ac:dyDescent="0.25">
      <c r="A85" s="238">
        <v>137</v>
      </c>
      <c r="B85" s="238"/>
      <c r="C85" s="240"/>
      <c r="D85" s="238"/>
      <c r="E85" s="238"/>
    </row>
    <row r="86" spans="1:5" x14ac:dyDescent="0.25">
      <c r="A86" s="238"/>
      <c r="B86" s="238"/>
      <c r="C86" s="240" t="s">
        <v>268</v>
      </c>
      <c r="D86" s="238" t="s">
        <v>215</v>
      </c>
      <c r="E86" s="238" t="s">
        <v>269</v>
      </c>
    </row>
    <row r="87" spans="1:5" x14ac:dyDescent="0.25">
      <c r="A87" s="238"/>
      <c r="B87" s="238" t="s">
        <v>213</v>
      </c>
      <c r="C87" s="240"/>
      <c r="D87" s="238"/>
      <c r="E87" s="238"/>
    </row>
    <row r="88" spans="1:5" x14ac:dyDescent="0.25">
      <c r="A88" s="238">
        <v>138</v>
      </c>
      <c r="B88" s="238"/>
      <c r="C88" s="240"/>
      <c r="D88" s="238"/>
      <c r="E88" s="238"/>
    </row>
    <row r="89" spans="1:5" x14ac:dyDescent="0.25">
      <c r="A89" s="238"/>
      <c r="B89" s="238"/>
      <c r="C89" s="240" t="s">
        <v>270</v>
      </c>
      <c r="D89" s="238" t="s">
        <v>215</v>
      </c>
      <c r="E89" s="31">
        <v>9294</v>
      </c>
    </row>
    <row r="90" spans="1:5" x14ac:dyDescent="0.25">
      <c r="A90" s="238"/>
      <c r="B90" s="238" t="s">
        <v>213</v>
      </c>
      <c r="C90" s="240"/>
      <c r="D90" s="238"/>
      <c r="E90" s="238"/>
    </row>
    <row r="91" spans="1:5" x14ac:dyDescent="0.25">
      <c r="A91" s="238">
        <v>139</v>
      </c>
      <c r="B91" s="238"/>
      <c r="C91" s="240"/>
      <c r="D91" s="238"/>
      <c r="E91" s="238"/>
    </row>
    <row r="92" spans="1:5" x14ac:dyDescent="0.25">
      <c r="A92" s="238"/>
      <c r="B92" s="238"/>
      <c r="C92" s="240" t="s">
        <v>271</v>
      </c>
      <c r="D92" s="238" t="s">
        <v>215</v>
      </c>
      <c r="E92" s="238" t="s">
        <v>272</v>
      </c>
    </row>
    <row r="93" spans="1:5" x14ac:dyDescent="0.25">
      <c r="A93" s="238"/>
      <c r="B93" s="238" t="s">
        <v>213</v>
      </c>
      <c r="C93" s="240"/>
      <c r="D93" s="238"/>
      <c r="E93" s="238"/>
    </row>
    <row r="94" spans="1:5" x14ac:dyDescent="0.25">
      <c r="A94" s="238">
        <v>140</v>
      </c>
      <c r="B94" s="238"/>
      <c r="C94" s="240"/>
      <c r="D94" s="238"/>
      <c r="E94" s="238"/>
    </row>
    <row r="95" spans="1:5" x14ac:dyDescent="0.25">
      <c r="A95" s="238"/>
      <c r="B95" s="238"/>
      <c r="C95" s="240" t="s">
        <v>273</v>
      </c>
      <c r="D95" s="238" t="s">
        <v>215</v>
      </c>
      <c r="E95" s="238" t="s">
        <v>221</v>
      </c>
    </row>
    <row r="96" spans="1:5" x14ac:dyDescent="0.25">
      <c r="A96" s="238"/>
      <c r="B96" s="238" t="s">
        <v>213</v>
      </c>
      <c r="C96" s="240"/>
      <c r="D96" s="238"/>
      <c r="E96" s="238"/>
    </row>
    <row r="97" spans="1:5" x14ac:dyDescent="0.25">
      <c r="A97" s="238">
        <v>141</v>
      </c>
      <c r="B97" s="238"/>
      <c r="C97" s="240"/>
      <c r="D97" s="238"/>
      <c r="E97" s="238"/>
    </row>
    <row r="98" spans="1:5" x14ac:dyDescent="0.25">
      <c r="A98" s="238"/>
      <c r="B98" s="238"/>
      <c r="C98" s="240" t="s">
        <v>274</v>
      </c>
      <c r="D98" s="238"/>
      <c r="E98" s="238"/>
    </row>
    <row r="99" spans="1:5" x14ac:dyDescent="0.25">
      <c r="A99" s="238"/>
      <c r="B99" s="238"/>
      <c r="C99" s="240"/>
      <c r="D99" s="238"/>
      <c r="E99" s="238"/>
    </row>
    <row r="100" spans="1:5" x14ac:dyDescent="0.25">
      <c r="A100" s="238"/>
      <c r="B100" s="238" t="s">
        <v>275</v>
      </c>
      <c r="C100" s="240" t="s">
        <v>276</v>
      </c>
      <c r="D100" s="238" t="s">
        <v>215</v>
      </c>
      <c r="E100" s="31">
        <v>316500</v>
      </c>
    </row>
    <row r="101" spans="1:5" x14ac:dyDescent="0.25">
      <c r="A101" s="238"/>
      <c r="B101" s="238"/>
      <c r="C101" s="240"/>
      <c r="D101" s="238"/>
      <c r="E101" s="238"/>
    </row>
    <row r="102" spans="1:5" x14ac:dyDescent="0.25">
      <c r="A102" s="238">
        <v>142</v>
      </c>
      <c r="B102" s="238"/>
      <c r="C102" s="240"/>
      <c r="D102" s="238"/>
      <c r="E102" s="238"/>
    </row>
    <row r="103" spans="1:5" x14ac:dyDescent="0.25">
      <c r="A103" s="238"/>
      <c r="B103" s="238" t="s">
        <v>275</v>
      </c>
      <c r="C103" s="240" t="s">
        <v>277</v>
      </c>
      <c r="D103" s="238" t="s">
        <v>215</v>
      </c>
      <c r="E103" s="31">
        <v>237000</v>
      </c>
    </row>
    <row r="104" spans="1:5" x14ac:dyDescent="0.25">
      <c r="A104" s="238"/>
      <c r="B104" s="238"/>
      <c r="C104" s="240"/>
      <c r="D104" s="238"/>
      <c r="E104" s="238"/>
    </row>
    <row r="105" spans="1:5" x14ac:dyDescent="0.25">
      <c r="A105" s="238">
        <v>143</v>
      </c>
      <c r="B105" s="238"/>
      <c r="C105" s="240"/>
      <c r="D105" s="238"/>
      <c r="E105" s="238"/>
    </row>
    <row r="106" spans="1:5" x14ac:dyDescent="0.25">
      <c r="A106" s="238"/>
      <c r="B106" s="238" t="s">
        <v>275</v>
      </c>
      <c r="C106" s="240" t="s">
        <v>335</v>
      </c>
      <c r="D106" s="238" t="s">
        <v>215</v>
      </c>
      <c r="E106" s="31">
        <v>227250</v>
      </c>
    </row>
    <row r="107" spans="1:5" x14ac:dyDescent="0.25">
      <c r="A107" s="238">
        <v>144</v>
      </c>
      <c r="B107" s="238"/>
      <c r="C107" s="240"/>
      <c r="D107" s="238"/>
      <c r="E107" s="238"/>
    </row>
    <row r="108" spans="1:5" x14ac:dyDescent="0.25">
      <c r="A108" s="238"/>
      <c r="B108" s="238" t="s">
        <v>278</v>
      </c>
      <c r="C108" s="240"/>
      <c r="D108" s="238"/>
      <c r="E108" s="238" t="s">
        <v>279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9"/>
  <sheetViews>
    <sheetView topLeftCell="A57" workbookViewId="0">
      <selection activeCell="A62" sqref="A62"/>
    </sheetView>
  </sheetViews>
  <sheetFormatPr defaultRowHeight="13.2" x14ac:dyDescent="0.25"/>
  <cols>
    <col min="1" max="1" width="44.44140625" customWidth="1"/>
    <col min="2" max="6" width="14.77734375" customWidth="1"/>
  </cols>
  <sheetData>
    <row r="2" spans="1:6" x14ac:dyDescent="0.25">
      <c r="A2" s="466" t="s">
        <v>24</v>
      </c>
      <c r="B2" s="219" t="s">
        <v>180</v>
      </c>
      <c r="C2" s="219" t="s">
        <v>181</v>
      </c>
      <c r="D2" s="219" t="s">
        <v>182</v>
      </c>
      <c r="E2" s="219" t="s">
        <v>183</v>
      </c>
      <c r="F2" s="219" t="s">
        <v>184</v>
      </c>
    </row>
    <row r="3" spans="1:6" x14ac:dyDescent="0.25">
      <c r="A3" s="466"/>
      <c r="B3" s="219" t="s">
        <v>185</v>
      </c>
      <c r="C3" s="219" t="s">
        <v>185</v>
      </c>
      <c r="D3" s="219" t="s">
        <v>185</v>
      </c>
      <c r="E3" s="219" t="s">
        <v>185</v>
      </c>
      <c r="F3" s="219" t="s">
        <v>185</v>
      </c>
    </row>
    <row r="4" spans="1:6" x14ac:dyDescent="0.25">
      <c r="A4" s="216" t="s">
        <v>75</v>
      </c>
      <c r="B4" s="217">
        <v>167512</v>
      </c>
      <c r="C4" s="217">
        <v>166183</v>
      </c>
      <c r="D4" s="217">
        <v>175680</v>
      </c>
      <c r="E4" s="217">
        <v>191391</v>
      </c>
      <c r="F4" s="218">
        <v>180648</v>
      </c>
    </row>
    <row r="5" spans="1:6" x14ac:dyDescent="0.25">
      <c r="A5" s="216" t="s">
        <v>104</v>
      </c>
      <c r="B5" s="217">
        <v>141413</v>
      </c>
      <c r="C5" s="217">
        <v>149777</v>
      </c>
      <c r="D5" s="217">
        <v>160027</v>
      </c>
      <c r="E5" s="217">
        <v>157864</v>
      </c>
      <c r="F5" s="218">
        <v>161161</v>
      </c>
    </row>
    <row r="6" spans="1:6" x14ac:dyDescent="0.25">
      <c r="A6" s="216" t="s">
        <v>155</v>
      </c>
      <c r="B6" s="217">
        <v>15058</v>
      </c>
      <c r="C6" s="217">
        <v>826</v>
      </c>
      <c r="D6" s="217">
        <v>3568</v>
      </c>
      <c r="E6" s="217">
        <v>11836</v>
      </c>
      <c r="F6" s="218">
        <v>9216</v>
      </c>
    </row>
    <row r="7" spans="1:6" x14ac:dyDescent="0.25">
      <c r="A7" s="216" t="s">
        <v>186</v>
      </c>
      <c r="B7" s="217">
        <v>58028</v>
      </c>
      <c r="C7" s="217">
        <v>42846</v>
      </c>
      <c r="D7" s="217">
        <v>45631</v>
      </c>
      <c r="E7" s="217">
        <v>54081</v>
      </c>
      <c r="F7" s="218">
        <v>51497</v>
      </c>
    </row>
    <row r="9" spans="1:6" x14ac:dyDescent="0.25">
      <c r="B9" s="70"/>
      <c r="C9" s="70"/>
      <c r="D9" s="70"/>
      <c r="E9" s="70"/>
      <c r="F9" s="70"/>
    </row>
    <row r="10" spans="1:6" x14ac:dyDescent="0.25">
      <c r="B10" s="70">
        <v>2014</v>
      </c>
      <c r="C10" s="70">
        <v>2015</v>
      </c>
      <c r="D10" s="70">
        <v>2016</v>
      </c>
      <c r="E10" s="70">
        <v>2017</v>
      </c>
      <c r="F10" s="70">
        <v>2018</v>
      </c>
    </row>
    <row r="11" spans="1:6" x14ac:dyDescent="0.25">
      <c r="A11" t="s">
        <v>187</v>
      </c>
      <c r="B11" s="70"/>
      <c r="C11" s="70"/>
      <c r="D11" s="70"/>
      <c r="E11" s="70"/>
      <c r="F11" s="70"/>
    </row>
    <row r="12" spans="1:6" x14ac:dyDescent="0.25">
      <c r="A12" t="s">
        <v>192</v>
      </c>
      <c r="B12" s="70">
        <f>B23/1000</f>
        <v>1992.1543799999999</v>
      </c>
      <c r="C12" s="70">
        <f>C23/1000</f>
        <v>2290.7898700000001</v>
      </c>
      <c r="D12" s="70">
        <f>D23/1000</f>
        <v>2591.7803100000001</v>
      </c>
      <c r="E12" s="70">
        <f>E23/1000</f>
        <v>2549.5052099999998</v>
      </c>
      <c r="F12" s="70">
        <f>F23/1000</f>
        <v>2854.8386499999997</v>
      </c>
    </row>
    <row r="13" spans="1:6" x14ac:dyDescent="0.25">
      <c r="A13" s="221" t="s">
        <v>191</v>
      </c>
      <c r="B13" s="70">
        <f>B27/1000</f>
        <v>3557.4835400000002</v>
      </c>
      <c r="C13" s="70">
        <f>C27/1000</f>
        <v>3875.4139699999996</v>
      </c>
      <c r="D13" s="70">
        <f>D27/1000</f>
        <v>3969.5823100000007</v>
      </c>
      <c r="E13" s="70">
        <f>E27/1000</f>
        <v>4317.6807500000004</v>
      </c>
      <c r="F13" s="70">
        <f>F27/1000</f>
        <v>4343.1153900000008</v>
      </c>
    </row>
    <row r="14" spans="1:6" x14ac:dyDescent="0.25">
      <c r="B14" s="70"/>
      <c r="C14" s="70"/>
      <c r="D14" s="70"/>
      <c r="E14" s="70"/>
      <c r="F14" s="70"/>
    </row>
    <row r="15" spans="1:6" x14ac:dyDescent="0.25">
      <c r="A15" t="s">
        <v>190</v>
      </c>
      <c r="B15" s="70"/>
      <c r="C15" s="70"/>
      <c r="D15" s="70"/>
      <c r="E15" s="70"/>
      <c r="F15" s="70"/>
    </row>
    <row r="16" spans="1:6" x14ac:dyDescent="0.25">
      <c r="A16" t="s">
        <v>192</v>
      </c>
      <c r="B16" s="70">
        <v>942405.56</v>
      </c>
      <c r="C16" s="70">
        <v>1150931.6200000001</v>
      </c>
      <c r="D16" s="70">
        <v>1332389.26</v>
      </c>
      <c r="E16" s="70">
        <v>1308053.21</v>
      </c>
      <c r="F16" s="70">
        <v>1563551.24</v>
      </c>
    </row>
    <row r="17" spans="1:6" x14ac:dyDescent="0.25">
      <c r="A17" t="s">
        <v>191</v>
      </c>
      <c r="B17" s="70">
        <v>1533906.21</v>
      </c>
      <c r="C17" s="70">
        <v>1681572.58</v>
      </c>
      <c r="D17" s="70">
        <v>1719668.48</v>
      </c>
      <c r="E17" s="70">
        <v>1735487.13</v>
      </c>
      <c r="F17" s="70">
        <v>1731998.0299999998</v>
      </c>
    </row>
    <row r="18" spans="1:6" x14ac:dyDescent="0.25">
      <c r="B18" s="70">
        <f t="shared" ref="B18:F19" si="0">B16/1000</f>
        <v>942.40556000000004</v>
      </c>
      <c r="C18" s="70">
        <f t="shared" si="0"/>
        <v>1150.9316200000001</v>
      </c>
      <c r="D18" s="70">
        <f t="shared" si="0"/>
        <v>1332.3892599999999</v>
      </c>
      <c r="E18" s="70">
        <f t="shared" si="0"/>
        <v>1308.05321</v>
      </c>
      <c r="F18" s="70">
        <f t="shared" si="0"/>
        <v>1563.55124</v>
      </c>
    </row>
    <row r="19" spans="1:6" x14ac:dyDescent="0.25">
      <c r="B19" s="70">
        <f t="shared" si="0"/>
        <v>1533.9062099999999</v>
      </c>
      <c r="C19" s="70">
        <f t="shared" si="0"/>
        <v>1681.57258</v>
      </c>
      <c r="D19" s="70">
        <f t="shared" si="0"/>
        <v>1719.66848</v>
      </c>
      <c r="E19" s="70">
        <f t="shared" si="0"/>
        <v>1735.48713</v>
      </c>
      <c r="F19" s="70">
        <f t="shared" si="0"/>
        <v>1731.9980299999997</v>
      </c>
    </row>
    <row r="20" spans="1:6" x14ac:dyDescent="0.25">
      <c r="B20" s="209">
        <f t="shared" ref="B20:F21" si="1">B18/B12</f>
        <v>0.47305849860892812</v>
      </c>
      <c r="C20" s="209">
        <f t="shared" si="1"/>
        <v>0.50241693272373344</v>
      </c>
      <c r="D20" s="209">
        <f t="shared" si="1"/>
        <v>0.51408263843165003</v>
      </c>
      <c r="E20" s="209">
        <f t="shared" si="1"/>
        <v>0.51306159519477901</v>
      </c>
      <c r="F20" s="209">
        <f t="shared" si="1"/>
        <v>0.54768462659001771</v>
      </c>
    </row>
    <row r="21" spans="1:6" x14ac:dyDescent="0.25">
      <c r="B21" s="209">
        <f t="shared" si="1"/>
        <v>0.43117731754846006</v>
      </c>
      <c r="C21" s="209">
        <f t="shared" si="1"/>
        <v>0.4339078593970182</v>
      </c>
      <c r="D21" s="209">
        <f t="shared" si="1"/>
        <v>0.43321144284321433</v>
      </c>
      <c r="E21" s="209">
        <f t="shared" si="1"/>
        <v>0.40194892362062662</v>
      </c>
      <c r="F21" s="209">
        <f t="shared" si="1"/>
        <v>0.39879162179018213</v>
      </c>
    </row>
    <row r="22" spans="1:6" x14ac:dyDescent="0.25">
      <c r="B22" s="70"/>
      <c r="C22" s="70"/>
      <c r="D22" s="70"/>
    </row>
    <row r="23" spans="1:6" x14ac:dyDescent="0.25">
      <c r="A23" t="s">
        <v>192</v>
      </c>
      <c r="B23" s="70">
        <v>1992154.38</v>
      </c>
      <c r="C23">
        <v>2290789.87</v>
      </c>
      <c r="D23">
        <v>2591780.31</v>
      </c>
      <c r="E23">
        <v>2549505.21</v>
      </c>
      <c r="F23">
        <v>2854838.65</v>
      </c>
    </row>
    <row r="24" spans="1:6" x14ac:dyDescent="0.25">
      <c r="A24" t="s">
        <v>170</v>
      </c>
      <c r="B24" s="70"/>
      <c r="E24">
        <v>246746.26</v>
      </c>
      <c r="F24">
        <v>282557.73</v>
      </c>
    </row>
    <row r="25" spans="1:6" x14ac:dyDescent="0.25">
      <c r="A25" t="s">
        <v>169</v>
      </c>
      <c r="B25" s="70"/>
      <c r="E25">
        <v>2295491.46</v>
      </c>
      <c r="F25">
        <v>2559407.98</v>
      </c>
    </row>
    <row r="26" spans="1:6" x14ac:dyDescent="0.25">
      <c r="A26" t="s">
        <v>193</v>
      </c>
      <c r="E26">
        <v>7267.4900000000007</v>
      </c>
      <c r="F26">
        <v>12872.94</v>
      </c>
    </row>
    <row r="27" spans="1:6" x14ac:dyDescent="0.25">
      <c r="A27" t="s">
        <v>191</v>
      </c>
      <c r="B27">
        <v>3557483.54</v>
      </c>
      <c r="C27">
        <v>3875413.9699999997</v>
      </c>
      <c r="D27">
        <v>3969582.3100000005</v>
      </c>
      <c r="E27">
        <v>4317680.75</v>
      </c>
      <c r="F27">
        <v>4343115.3900000006</v>
      </c>
    </row>
    <row r="28" spans="1:6" x14ac:dyDescent="0.25">
      <c r="A28" t="s">
        <v>172</v>
      </c>
      <c r="E28">
        <v>3987366.38</v>
      </c>
      <c r="F28">
        <v>3973665.5300000003</v>
      </c>
    </row>
    <row r="29" spans="1:6" x14ac:dyDescent="0.25">
      <c r="A29" t="s">
        <v>194</v>
      </c>
      <c r="E29">
        <v>174346.73</v>
      </c>
      <c r="F29">
        <v>217442.63</v>
      </c>
    </row>
    <row r="32" spans="1:6" x14ac:dyDescent="0.25">
      <c r="A32" s="222"/>
      <c r="B32" s="227">
        <v>2016</v>
      </c>
      <c r="C32" s="227">
        <v>2017</v>
      </c>
      <c r="D32" s="227">
        <v>2018</v>
      </c>
    </row>
    <row r="33" spans="1:6" x14ac:dyDescent="0.25">
      <c r="A33" s="229" t="s">
        <v>195</v>
      </c>
      <c r="B33" s="230">
        <f>SUM(B34:B35)</f>
        <v>591967</v>
      </c>
      <c r="C33" s="230">
        <f>SUM(C34:C35)</f>
        <v>591733</v>
      </c>
      <c r="D33" s="230">
        <f>SUM(D34:D35)</f>
        <v>569630</v>
      </c>
    </row>
    <row r="34" spans="1:6" x14ac:dyDescent="0.25">
      <c r="A34" s="228" t="s">
        <v>197</v>
      </c>
      <c r="B34" s="224">
        <v>366768</v>
      </c>
      <c r="C34" s="224">
        <v>362154</v>
      </c>
      <c r="D34" s="224">
        <v>346840</v>
      </c>
    </row>
    <row r="35" spans="1:6" x14ac:dyDescent="0.25">
      <c r="A35" s="228" t="s">
        <v>191</v>
      </c>
      <c r="B35" s="224">
        <v>225199</v>
      </c>
      <c r="C35" s="224">
        <v>229579</v>
      </c>
      <c r="D35" s="224">
        <v>222790</v>
      </c>
    </row>
    <row r="36" spans="1:6" x14ac:dyDescent="0.25">
      <c r="A36" s="229" t="s">
        <v>196</v>
      </c>
      <c r="B36" s="230">
        <f>SUM(B37:B38)</f>
        <v>117114</v>
      </c>
      <c r="C36" s="230">
        <f>SUM(C37:C38)</f>
        <v>166730</v>
      </c>
      <c r="D36" s="230">
        <f>SUM(D37:D38)</f>
        <v>190003</v>
      </c>
    </row>
    <row r="37" spans="1:6" x14ac:dyDescent="0.25">
      <c r="A37" s="228" t="str">
        <f>A34</f>
        <v>Мясо (свинина, говядина, баранина)</v>
      </c>
      <c r="B37" s="224">
        <v>2162</v>
      </c>
      <c r="C37" s="224">
        <v>2563</v>
      </c>
      <c r="D37" s="224">
        <v>4301</v>
      </c>
    </row>
    <row r="38" spans="1:6" x14ac:dyDescent="0.25">
      <c r="A38" s="228" t="s">
        <v>191</v>
      </c>
      <c r="B38" s="224">
        <v>114952</v>
      </c>
      <c r="C38" s="224">
        <v>164167</v>
      </c>
      <c r="D38" s="224">
        <v>185702</v>
      </c>
    </row>
    <row r="39" spans="1:6" x14ac:dyDescent="0.25">
      <c r="A39" s="223" t="s">
        <v>195</v>
      </c>
      <c r="B39" s="225" t="s">
        <v>146</v>
      </c>
      <c r="C39" s="226">
        <f t="shared" ref="C39:D44" si="2">C33/B33-1</f>
        <v>-3.9529230514534497E-4</v>
      </c>
      <c r="D39" s="226">
        <f t="shared" si="2"/>
        <v>-3.7352995354323681E-2</v>
      </c>
    </row>
    <row r="40" spans="1:6" x14ac:dyDescent="0.25">
      <c r="A40" s="220" t="s">
        <v>192</v>
      </c>
      <c r="B40" s="225" t="s">
        <v>146</v>
      </c>
      <c r="C40" s="226">
        <f t="shared" si="2"/>
        <v>-1.2580159664965285E-2</v>
      </c>
      <c r="D40" s="226">
        <f t="shared" si="2"/>
        <v>-4.2285878383229281E-2</v>
      </c>
    </row>
    <row r="41" spans="1:6" x14ac:dyDescent="0.25">
      <c r="A41" s="220" t="s">
        <v>191</v>
      </c>
      <c r="B41" s="225" t="s">
        <v>146</v>
      </c>
      <c r="C41" s="226">
        <f t="shared" si="2"/>
        <v>1.9449464695669105E-2</v>
      </c>
      <c r="D41" s="226">
        <f t="shared" si="2"/>
        <v>-2.9571520043209509E-2</v>
      </c>
    </row>
    <row r="42" spans="1:6" x14ac:dyDescent="0.25">
      <c r="A42" t="s">
        <v>196</v>
      </c>
      <c r="B42" s="225" t="s">
        <v>146</v>
      </c>
      <c r="C42" s="226">
        <f t="shared" si="2"/>
        <v>0.42365558344860554</v>
      </c>
      <c r="D42" s="226">
        <f t="shared" si="2"/>
        <v>0.13958495771606794</v>
      </c>
    </row>
    <row r="43" spans="1:6" x14ac:dyDescent="0.25">
      <c r="A43" s="220" t="s">
        <v>192</v>
      </c>
      <c r="B43" s="225" t="s">
        <v>146</v>
      </c>
      <c r="C43" s="226">
        <f t="shared" si="2"/>
        <v>0.1854764107308049</v>
      </c>
      <c r="D43" s="226">
        <f t="shared" si="2"/>
        <v>0.67811158798283255</v>
      </c>
    </row>
    <row r="44" spans="1:6" x14ac:dyDescent="0.25">
      <c r="A44" s="220" t="s">
        <v>191</v>
      </c>
      <c r="B44" s="225" t="s">
        <v>146</v>
      </c>
      <c r="C44" s="226">
        <f t="shared" si="2"/>
        <v>0.42813522165773543</v>
      </c>
      <c r="D44" s="226">
        <f t="shared" si="2"/>
        <v>0.13117739862457123</v>
      </c>
    </row>
    <row r="45" spans="1:6" x14ac:dyDescent="0.25">
      <c r="C45" s="70">
        <f>C33-C36</f>
        <v>425003</v>
      </c>
      <c r="D45" s="70">
        <f>D33-D36</f>
        <v>379627</v>
      </c>
    </row>
    <row r="47" spans="1:6" x14ac:dyDescent="0.25">
      <c r="A47" s="205" t="s">
        <v>205</v>
      </c>
      <c r="B47" s="205" t="s">
        <v>199</v>
      </c>
      <c r="C47" s="205" t="s">
        <v>200</v>
      </c>
      <c r="D47" s="205" t="s">
        <v>198</v>
      </c>
      <c r="E47" s="205" t="s">
        <v>201</v>
      </c>
      <c r="F47" s="205" t="s">
        <v>198</v>
      </c>
    </row>
    <row r="48" spans="1:6" x14ac:dyDescent="0.25">
      <c r="A48" s="205" t="s">
        <v>204</v>
      </c>
      <c r="B48" s="205" t="s">
        <v>172</v>
      </c>
      <c r="C48" s="205" t="s">
        <v>171</v>
      </c>
      <c r="D48" s="205" t="s">
        <v>172</v>
      </c>
      <c r="E48" s="205" t="s">
        <v>171</v>
      </c>
      <c r="F48" s="205" t="s">
        <v>172</v>
      </c>
    </row>
    <row r="49" spans="1:8" x14ac:dyDescent="0.25">
      <c r="A49" s="231" t="s">
        <v>202</v>
      </c>
      <c r="B49" s="232">
        <v>131.24166666666667</v>
      </c>
      <c r="C49" s="232">
        <v>338.99833333333333</v>
      </c>
      <c r="D49" s="232">
        <v>133.17666666666668</v>
      </c>
      <c r="E49" s="232">
        <v>374.875</v>
      </c>
      <c r="F49" s="232">
        <v>146.72</v>
      </c>
      <c r="G49" s="212">
        <f>E49/C49-1</f>
        <v>0.10583139543458908</v>
      </c>
      <c r="H49" s="212">
        <f>F49/D49-1</f>
        <v>0.1016944910269566</v>
      </c>
    </row>
    <row r="50" spans="1:8" x14ac:dyDescent="0.25">
      <c r="A50" s="233" t="s">
        <v>190</v>
      </c>
      <c r="B50" s="232">
        <v>129.08916666666667</v>
      </c>
      <c r="C50" s="232">
        <v>361.20750000000004</v>
      </c>
      <c r="D50" s="232">
        <v>132.04416666666665</v>
      </c>
      <c r="E50" s="232">
        <v>398.49799999999999</v>
      </c>
      <c r="F50" s="232">
        <v>145.04599999999999</v>
      </c>
      <c r="G50" s="212">
        <f t="shared" ref="G50:H52" si="3">E50/C50-1</f>
        <v>0.10323844327706366</v>
      </c>
      <c r="H50" s="212">
        <f t="shared" si="3"/>
        <v>9.8465791117871015E-2</v>
      </c>
    </row>
    <row r="51" spans="1:8" x14ac:dyDescent="0.25">
      <c r="A51" s="231" t="s">
        <v>189</v>
      </c>
      <c r="B51" s="232">
        <v>122.52916666666668</v>
      </c>
      <c r="C51" s="232">
        <v>363.75833333333338</v>
      </c>
      <c r="D51" s="232">
        <v>123.80666666666666</v>
      </c>
      <c r="E51" s="232">
        <v>403.66499999999996</v>
      </c>
      <c r="F51" s="232">
        <v>140.11699999999999</v>
      </c>
      <c r="G51" s="212">
        <f t="shared" si="3"/>
        <v>0.10970653593273894</v>
      </c>
      <c r="H51" s="212">
        <f t="shared" si="3"/>
        <v>0.13174034785418121</v>
      </c>
    </row>
    <row r="52" spans="1:8" x14ac:dyDescent="0.25">
      <c r="A52" s="231" t="s">
        <v>203</v>
      </c>
      <c r="B52" s="232">
        <v>143.75416666666666</v>
      </c>
      <c r="C52" s="232">
        <v>371.54416666666663</v>
      </c>
      <c r="D52" s="232">
        <v>147.64416666666668</v>
      </c>
      <c r="E52" s="232">
        <v>410.58199999999999</v>
      </c>
      <c r="F52" s="232">
        <v>159.548</v>
      </c>
      <c r="G52" s="212">
        <f t="shared" si="3"/>
        <v>0.10506915956604534</v>
      </c>
      <c r="H52" s="212">
        <f t="shared" si="3"/>
        <v>8.0625151687898189E-2</v>
      </c>
    </row>
    <row r="55" spans="1:8" x14ac:dyDescent="0.25">
      <c r="B55">
        <v>73</v>
      </c>
      <c r="C55" t="e">
        <f>#REF!*B55/1000000</f>
        <v>#REF!</v>
      </c>
    </row>
    <row r="56" spans="1:8" x14ac:dyDescent="0.25">
      <c r="A56" t="s">
        <v>203</v>
      </c>
      <c r="B56" s="77">
        <v>7599647</v>
      </c>
      <c r="C56" s="237">
        <f>B56*$B$55/1000000</f>
        <v>554.77423099999999</v>
      </c>
    </row>
    <row r="57" spans="1:8" x14ac:dyDescent="0.25">
      <c r="A57" t="s">
        <v>189</v>
      </c>
      <c r="B57" s="77">
        <v>12615882</v>
      </c>
      <c r="C57" s="237">
        <f>B57*$B$55/1000000</f>
        <v>920.95938599999999</v>
      </c>
    </row>
    <row r="58" spans="1:8" x14ac:dyDescent="0.25">
      <c r="A58" t="s">
        <v>188</v>
      </c>
      <c r="B58" s="77">
        <v>39378059</v>
      </c>
      <c r="C58" s="237">
        <f>B58*$B$55/1000000</f>
        <v>2874.5983070000002</v>
      </c>
      <c r="D58">
        <f>(F19+F18)/C58</f>
        <v>1.1464381865024174</v>
      </c>
    </row>
    <row r="59" spans="1:8" x14ac:dyDescent="0.25">
      <c r="A59" t="s">
        <v>206</v>
      </c>
      <c r="B59" s="236">
        <v>146781095</v>
      </c>
      <c r="C59" s="237">
        <f>B59*$B$55/1000000</f>
        <v>10715.019935</v>
      </c>
      <c r="D59" s="210">
        <f>(F12+F13)/C59</f>
        <v>0.67176300965043423</v>
      </c>
    </row>
  </sheetData>
  <mergeCells count="1">
    <mergeCell ref="A2:A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V217"/>
  <sheetViews>
    <sheetView showGridLines="0" tabSelected="1" topLeftCell="A133" zoomScaleNormal="100" workbookViewId="0">
      <selection activeCell="D143" sqref="D143"/>
    </sheetView>
  </sheetViews>
  <sheetFormatPr defaultColWidth="9.33203125" defaultRowHeight="13.2" x14ac:dyDescent="0.25"/>
  <cols>
    <col min="1" max="1" width="57.33203125" style="1" customWidth="1"/>
    <col min="2" max="2" width="21.33203125" style="54" customWidth="1"/>
    <col min="3" max="3" width="21" style="1" customWidth="1"/>
    <col min="4" max="4" width="16.77734375" style="1" customWidth="1"/>
    <col min="5" max="5" width="15" style="1" customWidth="1"/>
    <col min="6" max="15" width="12.77734375" style="1" customWidth="1"/>
    <col min="16" max="24" width="12.6640625" style="1" customWidth="1"/>
    <col min="25" max="16384" width="9.33203125" style="1"/>
  </cols>
  <sheetData>
    <row r="1" spans="1:3" s="376" customFormat="1" ht="28.5" customHeight="1" x14ac:dyDescent="0.3">
      <c r="A1" s="374" t="s">
        <v>163</v>
      </c>
      <c r="B1" s="375"/>
    </row>
    <row r="2" spans="1:3" s="376" customFormat="1" ht="19.5" customHeight="1" x14ac:dyDescent="0.25">
      <c r="A2" s="380" t="s">
        <v>396</v>
      </c>
      <c r="B2" s="377"/>
    </row>
    <row r="3" spans="1:3" s="376" customFormat="1" ht="15" customHeight="1" x14ac:dyDescent="0.25">
      <c r="A3" s="378"/>
      <c r="B3" s="379"/>
    </row>
    <row r="4" spans="1:3" s="12" customFormat="1" ht="21.75" customHeight="1" x14ac:dyDescent="0.25">
      <c r="A4" s="14"/>
      <c r="B4"/>
    </row>
    <row r="5" spans="1:3" x14ac:dyDescent="0.25">
      <c r="A5" s="4" t="s">
        <v>22</v>
      </c>
    </row>
    <row r="7" spans="1:3" x14ac:dyDescent="0.25">
      <c r="A7" s="4" t="s">
        <v>23</v>
      </c>
    </row>
    <row r="8" spans="1:3" x14ac:dyDescent="0.25">
      <c r="A8" s="84" t="s">
        <v>24</v>
      </c>
      <c r="B8" s="89" t="s">
        <v>25</v>
      </c>
      <c r="C8" s="47"/>
    </row>
    <row r="9" spans="1:3" x14ac:dyDescent="0.25">
      <c r="A9" s="90" t="s">
        <v>26</v>
      </c>
      <c r="B9" s="273" t="s">
        <v>395</v>
      </c>
      <c r="C9" s="22"/>
    </row>
    <row r="10" spans="1:3" x14ac:dyDescent="0.25">
      <c r="A10" s="90" t="s">
        <v>27</v>
      </c>
      <c r="B10" s="273" t="s">
        <v>393</v>
      </c>
      <c r="C10" s="18"/>
    </row>
    <row r="11" spans="1:3" x14ac:dyDescent="0.25">
      <c r="A11" s="481" t="s">
        <v>28</v>
      </c>
      <c r="B11" s="323">
        <v>44106</v>
      </c>
      <c r="C11" s="18"/>
    </row>
    <row r="12" spans="1:3" s="67" customFormat="1" x14ac:dyDescent="0.25">
      <c r="A12" s="482"/>
      <c r="B12" s="324">
        <v>2020</v>
      </c>
      <c r="C12" s="18"/>
    </row>
    <row r="13" spans="1:3" x14ac:dyDescent="0.25">
      <c r="A13" s="90" t="s">
        <v>29</v>
      </c>
      <c r="B13" s="92" t="s">
        <v>30</v>
      </c>
      <c r="C13" s="18"/>
    </row>
    <row r="14" spans="1:3" x14ac:dyDescent="0.25">
      <c r="A14" s="90" t="s">
        <v>31</v>
      </c>
      <c r="B14" s="92" t="s">
        <v>32</v>
      </c>
      <c r="C14" s="18"/>
    </row>
    <row r="15" spans="1:3" ht="26.4" x14ac:dyDescent="0.25">
      <c r="A15" s="93" t="s">
        <v>33</v>
      </c>
      <c r="B15" s="94" t="s">
        <v>162</v>
      </c>
      <c r="C15" s="18"/>
    </row>
    <row r="16" spans="1:3" x14ac:dyDescent="0.25">
      <c r="A16" s="18"/>
      <c r="B16" s="66"/>
      <c r="C16" s="18"/>
    </row>
    <row r="17" spans="1:5" x14ac:dyDescent="0.25">
      <c r="A17" s="4" t="s">
        <v>34</v>
      </c>
      <c r="C17" s="18"/>
    </row>
    <row r="18" spans="1:5" x14ac:dyDescent="0.25">
      <c r="A18" s="84" t="s">
        <v>24</v>
      </c>
      <c r="B18" s="89" t="s">
        <v>25</v>
      </c>
      <c r="C18" s="47"/>
    </row>
    <row r="19" spans="1:5" s="30" customFormat="1" x14ac:dyDescent="0.25">
      <c r="A19" s="95" t="s">
        <v>101</v>
      </c>
      <c r="B19" s="96">
        <v>1.04</v>
      </c>
      <c r="C19" s="55"/>
    </row>
    <row r="20" spans="1:5" s="30" customFormat="1" x14ac:dyDescent="0.25">
      <c r="A20" s="95" t="s">
        <v>135</v>
      </c>
      <c r="B20" s="96">
        <v>1.04</v>
      </c>
      <c r="C20" s="55"/>
    </row>
    <row r="21" spans="1:5" s="30" customFormat="1" x14ac:dyDescent="0.25">
      <c r="A21" s="60"/>
      <c r="B21" s="61"/>
      <c r="C21" s="55"/>
    </row>
    <row r="22" spans="1:5" x14ac:dyDescent="0.25">
      <c r="A22" s="4" t="s">
        <v>35</v>
      </c>
      <c r="C22" s="18"/>
    </row>
    <row r="23" spans="1:5" x14ac:dyDescent="0.25">
      <c r="A23" s="84" t="s">
        <v>24</v>
      </c>
      <c r="B23" s="89" t="s">
        <v>25</v>
      </c>
      <c r="C23" s="47"/>
    </row>
    <row r="24" spans="1:5" s="30" customFormat="1" x14ac:dyDescent="0.25">
      <c r="A24" s="95" t="s">
        <v>601</v>
      </c>
      <c r="B24" s="97">
        <v>0.06</v>
      </c>
      <c r="C24" s="55"/>
    </row>
    <row r="25" spans="1:5" s="30" customFormat="1" x14ac:dyDescent="0.25">
      <c r="A25" s="95" t="s">
        <v>36</v>
      </c>
      <c r="B25" s="97">
        <v>0.13</v>
      </c>
      <c r="C25" s="55"/>
    </row>
    <row r="26" spans="1:5" x14ac:dyDescent="0.25">
      <c r="A26" s="98" t="s">
        <v>37</v>
      </c>
      <c r="B26" s="99">
        <f>SUM(B27:B29)</f>
        <v>0.15200000000000002</v>
      </c>
      <c r="C26" s="18"/>
    </row>
    <row r="27" spans="1:5" x14ac:dyDescent="0.25">
      <c r="A27" s="100" t="s">
        <v>38</v>
      </c>
      <c r="B27" s="97">
        <v>0.1</v>
      </c>
      <c r="C27" s="67"/>
      <c r="D27" s="67"/>
      <c r="E27" s="67"/>
    </row>
    <row r="28" spans="1:5" x14ac:dyDescent="0.25">
      <c r="A28" s="100" t="s">
        <v>39</v>
      </c>
      <c r="B28" s="97">
        <v>2E-3</v>
      </c>
      <c r="C28" s="18"/>
    </row>
    <row r="29" spans="1:5" x14ac:dyDescent="0.25">
      <c r="A29" s="100" t="s">
        <v>40</v>
      </c>
      <c r="B29" s="97">
        <v>0.05</v>
      </c>
      <c r="C29" s="18"/>
    </row>
    <row r="30" spans="1:5" x14ac:dyDescent="0.25">
      <c r="A30" s="58"/>
      <c r="B30" s="59"/>
      <c r="C30" s="18"/>
    </row>
    <row r="31" spans="1:5" x14ac:dyDescent="0.25">
      <c r="A31" s="4" t="s">
        <v>41</v>
      </c>
    </row>
    <row r="32" spans="1:5" x14ac:dyDescent="0.25">
      <c r="A32" s="84" t="s">
        <v>24</v>
      </c>
      <c r="B32" s="89" t="s">
        <v>25</v>
      </c>
      <c r="C32" s="89" t="s">
        <v>157</v>
      </c>
    </row>
    <row r="33" spans="1:22" x14ac:dyDescent="0.25">
      <c r="A33" s="101" t="s">
        <v>158</v>
      </c>
      <c r="B33" s="102">
        <v>4.2500000000000003E-2</v>
      </c>
      <c r="C33" s="97" t="s">
        <v>159</v>
      </c>
    </row>
    <row r="34" spans="1:22" x14ac:dyDescent="0.25">
      <c r="A34" s="103" t="s">
        <v>160</v>
      </c>
      <c r="B34" s="104">
        <f>4%</f>
        <v>0.04</v>
      </c>
      <c r="C34" s="97" t="s">
        <v>159</v>
      </c>
    </row>
    <row r="35" spans="1:22" x14ac:dyDescent="0.25">
      <c r="A35" s="103" t="s">
        <v>161</v>
      </c>
      <c r="B35" s="105">
        <v>0.15</v>
      </c>
      <c r="C35" s="97"/>
    </row>
    <row r="36" spans="1:22" x14ac:dyDescent="0.25">
      <c r="A36" s="106" t="s">
        <v>42</v>
      </c>
      <c r="B36" s="107">
        <f>(1+B33)/(1+B34)+B35-1</f>
        <v>0.15240384615384595</v>
      </c>
      <c r="C36" s="108"/>
    </row>
    <row r="37" spans="1:22" x14ac:dyDescent="0.25">
      <c r="A37" s="69"/>
      <c r="B37" s="80"/>
      <c r="C37" s="81"/>
    </row>
    <row r="38" spans="1:22" s="67" customFormat="1" x14ac:dyDescent="0.25">
      <c r="A38" s="69" t="s">
        <v>344</v>
      </c>
      <c r="B38" s="80"/>
      <c r="C38" s="81"/>
    </row>
    <row r="39" spans="1:22" customFormat="1" ht="12.75" customHeight="1" x14ac:dyDescent="0.25">
      <c r="A39" s="474" t="s">
        <v>343</v>
      </c>
      <c r="B39" s="476" t="s">
        <v>397</v>
      </c>
      <c r="C39" s="476" t="s">
        <v>398</v>
      </c>
      <c r="D39" s="474" t="s">
        <v>347</v>
      </c>
      <c r="E39" s="474" t="s">
        <v>48</v>
      </c>
      <c r="F39" s="474"/>
      <c r="G39" s="483" t="s">
        <v>502</v>
      </c>
      <c r="H39" s="467" t="s">
        <v>503</v>
      </c>
      <c r="I39" s="468"/>
      <c r="J39" s="468"/>
      <c r="K39" s="468"/>
      <c r="L39" s="468"/>
      <c r="M39" s="468"/>
      <c r="N39" s="468"/>
      <c r="O39" s="468"/>
      <c r="P39" s="468"/>
      <c r="Q39" s="468"/>
      <c r="R39" s="468"/>
      <c r="S39" s="468"/>
      <c r="T39" s="468"/>
      <c r="U39" s="468"/>
    </row>
    <row r="40" spans="1:22" customFormat="1" ht="12.75" customHeight="1" x14ac:dyDescent="0.25">
      <c r="A40" s="474"/>
      <c r="B40" s="477"/>
      <c r="C40" s="477"/>
      <c r="D40" s="474"/>
      <c r="E40" s="474" t="s">
        <v>344</v>
      </c>
      <c r="F40" s="474" t="s">
        <v>353</v>
      </c>
      <c r="G40" s="484"/>
      <c r="H40" s="327">
        <f>B12</f>
        <v>2020</v>
      </c>
      <c r="I40" s="328">
        <f t="shared" ref="I40:U40" si="0">IF(MONTH(I41)=1,H40+1,H40)</f>
        <v>2020</v>
      </c>
      <c r="J40" s="328">
        <f t="shared" si="0"/>
        <v>2020</v>
      </c>
      <c r="K40" s="328">
        <f t="shared" si="0"/>
        <v>2021</v>
      </c>
      <c r="L40" s="328">
        <f t="shared" si="0"/>
        <v>2021</v>
      </c>
      <c r="M40" s="328">
        <f t="shared" si="0"/>
        <v>2021</v>
      </c>
      <c r="N40" s="328">
        <f t="shared" si="0"/>
        <v>2021</v>
      </c>
      <c r="O40" s="328">
        <f t="shared" si="0"/>
        <v>2021</v>
      </c>
      <c r="P40" s="328">
        <f t="shared" si="0"/>
        <v>2021</v>
      </c>
      <c r="Q40" s="328">
        <f t="shared" si="0"/>
        <v>2021</v>
      </c>
      <c r="R40" s="328">
        <f t="shared" si="0"/>
        <v>2021</v>
      </c>
      <c r="S40" s="328">
        <f t="shared" si="0"/>
        <v>2021</v>
      </c>
      <c r="T40" s="328">
        <f t="shared" si="0"/>
        <v>2021</v>
      </c>
      <c r="U40" s="328">
        <f t="shared" si="0"/>
        <v>2021</v>
      </c>
    </row>
    <row r="41" spans="1:22" customFormat="1" ht="13.5" customHeight="1" x14ac:dyDescent="0.25">
      <c r="A41" s="475"/>
      <c r="B41" s="478"/>
      <c r="C41" s="478"/>
      <c r="D41" s="474"/>
      <c r="E41" s="474"/>
      <c r="F41" s="474"/>
      <c r="G41" s="485"/>
      <c r="H41" s="326">
        <f>B11</f>
        <v>44106</v>
      </c>
      <c r="I41" s="326">
        <f>H41+31</f>
        <v>44137</v>
      </c>
      <c r="J41" s="326">
        <f t="shared" ref="J41:K41" si="1">I41+31</f>
        <v>44168</v>
      </c>
      <c r="K41" s="326">
        <f t="shared" si="1"/>
        <v>44199</v>
      </c>
      <c r="L41" s="326">
        <f t="shared" ref="L41:R41" si="2">K41+31</f>
        <v>44230</v>
      </c>
      <c r="M41" s="326">
        <f t="shared" si="2"/>
        <v>44261</v>
      </c>
      <c r="N41" s="326">
        <f t="shared" si="2"/>
        <v>44292</v>
      </c>
      <c r="O41" s="326">
        <f t="shared" si="2"/>
        <v>44323</v>
      </c>
      <c r="P41" s="326">
        <f t="shared" si="2"/>
        <v>44354</v>
      </c>
      <c r="Q41" s="326">
        <f t="shared" si="2"/>
        <v>44385</v>
      </c>
      <c r="R41" s="326">
        <f t="shared" si="2"/>
        <v>44416</v>
      </c>
      <c r="S41" s="326">
        <f t="shared" ref="S41:U41" si="3">R41+31</f>
        <v>44447</v>
      </c>
      <c r="T41" s="326">
        <f t="shared" si="3"/>
        <v>44478</v>
      </c>
      <c r="U41" s="326">
        <f t="shared" si="3"/>
        <v>44509</v>
      </c>
    </row>
    <row r="42" spans="1:22" customFormat="1" ht="13.5" customHeight="1" x14ac:dyDescent="0.25">
      <c r="A42" s="318" t="s">
        <v>624</v>
      </c>
      <c r="B42" s="442"/>
      <c r="C42" s="319"/>
      <c r="D42" s="319">
        <v>40000</v>
      </c>
      <c r="E42" s="319">
        <f>D42</f>
        <v>40000</v>
      </c>
      <c r="F42" s="319">
        <v>0</v>
      </c>
      <c r="G42" s="325"/>
      <c r="H42" s="325">
        <f>D42</f>
        <v>40000</v>
      </c>
      <c r="I42" s="325">
        <v>0</v>
      </c>
      <c r="J42" s="325">
        <v>0</v>
      </c>
      <c r="K42" s="325">
        <v>0</v>
      </c>
      <c r="L42" s="325">
        <v>0</v>
      </c>
      <c r="M42" s="325">
        <v>0</v>
      </c>
      <c r="N42" s="325">
        <v>0</v>
      </c>
      <c r="O42" s="325">
        <v>0</v>
      </c>
      <c r="P42" s="325">
        <v>0</v>
      </c>
      <c r="Q42" s="325">
        <v>0</v>
      </c>
      <c r="R42" s="325">
        <v>0</v>
      </c>
      <c r="S42" s="325">
        <v>0</v>
      </c>
      <c r="T42" s="325">
        <v>0</v>
      </c>
      <c r="U42" s="325">
        <v>0</v>
      </c>
    </row>
    <row r="43" spans="1:22" customFormat="1" x14ac:dyDescent="0.25">
      <c r="A43" s="318" t="s">
        <v>399</v>
      </c>
      <c r="B43" s="319"/>
      <c r="C43" s="319"/>
      <c r="D43" s="319">
        <f>D44+D47+D50+D53+D56+D59+D66+D69+D70</f>
        <v>91412.739628800002</v>
      </c>
      <c r="E43" s="319">
        <f t="shared" ref="E43:U43" si="4">E44+E47+E50+E53+E56+E59+E66+E69+E70</f>
        <v>91412.739628800002</v>
      </c>
      <c r="F43" s="319">
        <f t="shared" si="4"/>
        <v>0</v>
      </c>
      <c r="G43" s="325"/>
      <c r="H43" s="325">
        <f>H44+H47+H50+H53+H56+H59+H66+H69+H70</f>
        <v>4044.8114880000003</v>
      </c>
      <c r="I43" s="325">
        <f t="shared" si="4"/>
        <v>11258.019294400001</v>
      </c>
      <c r="J43" s="325">
        <f t="shared" si="4"/>
        <v>14845.912766400001</v>
      </c>
      <c r="K43" s="325">
        <f t="shared" si="4"/>
        <v>9616.1168399999988</v>
      </c>
      <c r="L43" s="325">
        <f t="shared" si="4"/>
        <v>18779.293079999999</v>
      </c>
      <c r="M43" s="325">
        <f t="shared" si="4"/>
        <v>12429.764360000001</v>
      </c>
      <c r="N43" s="325">
        <f t="shared" si="4"/>
        <v>9856.1168399999988</v>
      </c>
      <c r="O43" s="325">
        <f t="shared" si="4"/>
        <v>5766.3524799999996</v>
      </c>
      <c r="P43" s="325">
        <f t="shared" si="4"/>
        <v>4816.3524799999996</v>
      </c>
      <c r="Q43" s="325">
        <f t="shared" si="4"/>
        <v>0</v>
      </c>
      <c r="R43" s="325">
        <f t="shared" si="4"/>
        <v>0</v>
      </c>
      <c r="S43" s="325">
        <f t="shared" si="4"/>
        <v>0</v>
      </c>
      <c r="T43" s="325">
        <f t="shared" si="4"/>
        <v>0</v>
      </c>
      <c r="U43" s="325">
        <f t="shared" si="4"/>
        <v>0</v>
      </c>
      <c r="V43" s="70"/>
    </row>
    <row r="44" spans="1:22" customFormat="1" x14ac:dyDescent="0.25">
      <c r="A44" s="262" t="s">
        <v>483</v>
      </c>
      <c r="B44" s="263"/>
      <c r="C44" s="263"/>
      <c r="D44" s="263">
        <f>SUM(D45:D46)</f>
        <v>55996.229760000002</v>
      </c>
      <c r="E44" s="263">
        <f t="shared" ref="E44:F44" si="5">SUM(E45:E46)</f>
        <v>55996.229760000002</v>
      </c>
      <c r="F44" s="263">
        <f t="shared" si="5"/>
        <v>0</v>
      </c>
      <c r="G44" s="263">
        <v>120</v>
      </c>
      <c r="H44" s="263">
        <f t="shared" ref="H44" si="6">SUM(H45:H46)</f>
        <v>0</v>
      </c>
      <c r="I44" s="263">
        <f t="shared" ref="I44" si="7">SUM(I45:I46)</f>
        <v>3499.7643600000001</v>
      </c>
      <c r="J44" s="263">
        <f t="shared" ref="J44" si="8">SUM(J45:J46)</f>
        <v>12832.46932</v>
      </c>
      <c r="K44" s="263">
        <f t="shared" ref="K44" si="9">SUM(K45:K46)</f>
        <v>8166.1168399999997</v>
      </c>
      <c r="L44" s="263">
        <f t="shared" ref="L44" si="10">SUM(L45:L46)</f>
        <v>10499.293079999999</v>
      </c>
      <c r="M44" s="263">
        <f t="shared" ref="M44" si="11">SUM(M45:M46)</f>
        <v>3499.7643600000001</v>
      </c>
      <c r="N44" s="263">
        <f t="shared" ref="N44" si="12">SUM(N45:N46)</f>
        <v>8166.1168399999997</v>
      </c>
      <c r="O44" s="263">
        <f t="shared" ref="O44" si="13">SUM(O45:O46)</f>
        <v>4666.3524799999996</v>
      </c>
      <c r="P44" s="263">
        <f t="shared" ref="P44" si="14">SUM(P45:P46)</f>
        <v>4666.3524799999996</v>
      </c>
      <c r="Q44" s="263">
        <f t="shared" ref="Q44" si="15">SUM(Q45:Q46)</f>
        <v>0</v>
      </c>
      <c r="R44" s="263">
        <f t="shared" ref="R44" si="16">SUM(R45:R46)</f>
        <v>0</v>
      </c>
      <c r="S44" s="263">
        <f t="shared" ref="S44" si="17">SUM(S45:S46)</f>
        <v>0</v>
      </c>
      <c r="T44" s="263">
        <f t="shared" ref="T44" si="18">SUM(T45:T46)</f>
        <v>0</v>
      </c>
      <c r="U44" s="263">
        <f t="shared" ref="U44" si="19">SUM(U45:U46)</f>
        <v>0</v>
      </c>
      <c r="V44" s="70"/>
    </row>
    <row r="45" spans="1:22" customFormat="1" x14ac:dyDescent="0.25">
      <c r="A45" s="261" t="s">
        <v>481</v>
      </c>
      <c r="B45" s="291">
        <v>48</v>
      </c>
      <c r="C45" s="317">
        <f>Модуль_Оснащение!B79</f>
        <v>1074500</v>
      </c>
      <c r="D45" s="248">
        <f>B45*C45/1000</f>
        <v>51576</v>
      </c>
      <c r="E45" s="248">
        <f>D45</f>
        <v>51576</v>
      </c>
      <c r="F45" s="248">
        <v>0</v>
      </c>
      <c r="G45" s="248">
        <v>0</v>
      </c>
      <c r="H45" s="248">
        <f t="shared" ref="H45:U46" si="20">$C45/1000*B$95</f>
        <v>0</v>
      </c>
      <c r="I45" s="248">
        <f t="shared" si="20"/>
        <v>3223.5</v>
      </c>
      <c r="J45" s="248">
        <f t="shared" si="20"/>
        <v>11819.5</v>
      </c>
      <c r="K45" s="248">
        <f t="shared" si="20"/>
        <v>7521.5</v>
      </c>
      <c r="L45" s="248">
        <f t="shared" si="20"/>
        <v>9670.5</v>
      </c>
      <c r="M45" s="248">
        <f t="shared" si="20"/>
        <v>3223.5</v>
      </c>
      <c r="N45" s="248">
        <f t="shared" si="20"/>
        <v>7521.5</v>
      </c>
      <c r="O45" s="248">
        <f t="shared" si="20"/>
        <v>4298</v>
      </c>
      <c r="P45" s="248">
        <f t="shared" si="20"/>
        <v>4298</v>
      </c>
      <c r="Q45" s="248">
        <f t="shared" si="20"/>
        <v>0</v>
      </c>
      <c r="R45" s="248">
        <f t="shared" si="20"/>
        <v>0</v>
      </c>
      <c r="S45" s="248">
        <f t="shared" si="20"/>
        <v>0</v>
      </c>
      <c r="T45" s="248">
        <f t="shared" si="20"/>
        <v>0</v>
      </c>
      <c r="U45" s="248">
        <f t="shared" si="20"/>
        <v>0</v>
      </c>
      <c r="V45" s="70"/>
    </row>
    <row r="46" spans="1:22" customFormat="1" x14ac:dyDescent="0.25">
      <c r="A46" s="261" t="s">
        <v>482</v>
      </c>
      <c r="B46" s="291">
        <v>48</v>
      </c>
      <c r="C46" s="317">
        <f>Модуль_Оснащение!B80</f>
        <v>92088.12</v>
      </c>
      <c r="D46" s="248">
        <f t="shared" ref="D46" si="21">B46*C46/1000</f>
        <v>4420.2297600000002</v>
      </c>
      <c r="E46" s="248">
        <f>D46</f>
        <v>4420.2297600000002</v>
      </c>
      <c r="F46" s="248">
        <v>0</v>
      </c>
      <c r="G46" s="248">
        <v>0</v>
      </c>
      <c r="H46" s="248">
        <f t="shared" si="20"/>
        <v>0</v>
      </c>
      <c r="I46" s="248">
        <f t="shared" si="20"/>
        <v>276.26435999999995</v>
      </c>
      <c r="J46" s="248">
        <f t="shared" si="20"/>
        <v>1012.9693199999999</v>
      </c>
      <c r="K46" s="248">
        <f t="shared" si="20"/>
        <v>644.61683999999991</v>
      </c>
      <c r="L46" s="248">
        <f t="shared" si="20"/>
        <v>828.79307999999992</v>
      </c>
      <c r="M46" s="248">
        <f t="shared" si="20"/>
        <v>276.26435999999995</v>
      </c>
      <c r="N46" s="248">
        <f t="shared" si="20"/>
        <v>644.61683999999991</v>
      </c>
      <c r="O46" s="248">
        <f t="shared" si="20"/>
        <v>368.35247999999996</v>
      </c>
      <c r="P46" s="248">
        <f t="shared" si="20"/>
        <v>368.35247999999996</v>
      </c>
      <c r="Q46" s="248">
        <f t="shared" si="20"/>
        <v>0</v>
      </c>
      <c r="R46" s="248">
        <f t="shared" si="20"/>
        <v>0</v>
      </c>
      <c r="S46" s="248">
        <f t="shared" si="20"/>
        <v>0</v>
      </c>
      <c r="T46" s="248">
        <f t="shared" si="20"/>
        <v>0</v>
      </c>
      <c r="U46" s="248">
        <f t="shared" si="20"/>
        <v>0</v>
      </c>
      <c r="V46" s="70"/>
    </row>
    <row r="47" spans="1:22" customFormat="1" x14ac:dyDescent="0.25">
      <c r="A47" s="262" t="s">
        <v>484</v>
      </c>
      <c r="B47" s="263"/>
      <c r="C47" s="263"/>
      <c r="D47" s="263">
        <f>SUM(D48:D49)</f>
        <v>2500</v>
      </c>
      <c r="E47" s="263">
        <f t="shared" ref="E47:F47" si="22">SUM(E48:E49)</f>
        <v>2500</v>
      </c>
      <c r="F47" s="263">
        <f t="shared" si="22"/>
        <v>0</v>
      </c>
      <c r="G47" s="263">
        <v>120</v>
      </c>
      <c r="H47" s="263">
        <f t="shared" ref="H47" si="23">SUM(H48:H49)</f>
        <v>0</v>
      </c>
      <c r="I47" s="263">
        <f t="shared" ref="I47" si="24">SUM(I48:I49)</f>
        <v>2500</v>
      </c>
      <c r="J47" s="263">
        <f t="shared" ref="J47" si="25">SUM(J48:J49)</f>
        <v>0</v>
      </c>
      <c r="K47" s="263">
        <f t="shared" ref="K47" si="26">SUM(K48:K49)</f>
        <v>0</v>
      </c>
      <c r="L47" s="263">
        <f t="shared" ref="L47" si="27">SUM(L48:L49)</f>
        <v>0</v>
      </c>
      <c r="M47" s="263">
        <f t="shared" ref="M47" si="28">SUM(M48:M49)</f>
        <v>0</v>
      </c>
      <c r="N47" s="263">
        <f t="shared" ref="N47" si="29">SUM(N48:N49)</f>
        <v>0</v>
      </c>
      <c r="O47" s="263">
        <f t="shared" ref="O47" si="30">SUM(O48:O49)</f>
        <v>0</v>
      </c>
      <c r="P47" s="263">
        <f t="shared" ref="P47" si="31">SUM(P48:P49)</f>
        <v>0</v>
      </c>
      <c r="Q47" s="263">
        <f t="shared" ref="Q47" si="32">SUM(Q48:Q49)</f>
        <v>0</v>
      </c>
      <c r="R47" s="263">
        <f t="shared" ref="R47" si="33">SUM(R48:R49)</f>
        <v>0</v>
      </c>
      <c r="S47" s="263">
        <f t="shared" ref="S47" si="34">SUM(S48:S49)</f>
        <v>0</v>
      </c>
      <c r="T47" s="263">
        <f t="shared" ref="T47" si="35">SUM(T48:T49)</f>
        <v>0</v>
      </c>
      <c r="U47" s="263">
        <f t="shared" ref="U47" si="36">SUM(U48:U49)</f>
        <v>0</v>
      </c>
      <c r="V47" s="70"/>
    </row>
    <row r="48" spans="1:22" customFormat="1" x14ac:dyDescent="0.25">
      <c r="A48" s="261" t="s">
        <v>485</v>
      </c>
      <c r="B48" s="291">
        <v>1</v>
      </c>
      <c r="C48" s="317">
        <v>2000000</v>
      </c>
      <c r="D48" s="248">
        <f>B48*C48/1000</f>
        <v>2000</v>
      </c>
      <c r="E48" s="248">
        <f>D48</f>
        <v>2000</v>
      </c>
      <c r="F48" s="248">
        <v>0</v>
      </c>
      <c r="G48" s="248">
        <v>0</v>
      </c>
      <c r="H48" s="248">
        <f t="shared" ref="H48:U49" si="37">$C48/1000*B$82</f>
        <v>0</v>
      </c>
      <c r="I48" s="248">
        <f t="shared" si="37"/>
        <v>2000</v>
      </c>
      <c r="J48" s="248">
        <f t="shared" si="37"/>
        <v>0</v>
      </c>
      <c r="K48" s="248">
        <f t="shared" si="37"/>
        <v>0</v>
      </c>
      <c r="L48" s="248">
        <f t="shared" si="37"/>
        <v>0</v>
      </c>
      <c r="M48" s="248">
        <f t="shared" si="37"/>
        <v>0</v>
      </c>
      <c r="N48" s="248">
        <f t="shared" si="37"/>
        <v>0</v>
      </c>
      <c r="O48" s="248">
        <f t="shared" si="37"/>
        <v>0</v>
      </c>
      <c r="P48" s="248">
        <f t="shared" si="37"/>
        <v>0</v>
      </c>
      <c r="Q48" s="248">
        <f t="shared" si="37"/>
        <v>0</v>
      </c>
      <c r="R48" s="248">
        <f t="shared" si="37"/>
        <v>0</v>
      </c>
      <c r="S48" s="248">
        <f t="shared" si="37"/>
        <v>0</v>
      </c>
      <c r="T48" s="248">
        <f t="shared" si="37"/>
        <v>0</v>
      </c>
      <c r="U48" s="248">
        <f t="shared" si="37"/>
        <v>0</v>
      </c>
      <c r="V48" s="70"/>
    </row>
    <row r="49" spans="1:22" customFormat="1" x14ac:dyDescent="0.25">
      <c r="A49" s="261" t="s">
        <v>486</v>
      </c>
      <c r="B49" s="291">
        <v>1</v>
      </c>
      <c r="C49" s="317">
        <v>500000</v>
      </c>
      <c r="D49" s="248">
        <f t="shared" ref="D49" si="38">B49*C49/1000</f>
        <v>500</v>
      </c>
      <c r="E49" s="248">
        <f>D49</f>
        <v>500</v>
      </c>
      <c r="F49" s="248">
        <v>0</v>
      </c>
      <c r="G49" s="248">
        <v>0</v>
      </c>
      <c r="H49" s="248">
        <f t="shared" si="37"/>
        <v>0</v>
      </c>
      <c r="I49" s="248">
        <f t="shared" si="37"/>
        <v>500</v>
      </c>
      <c r="J49" s="248">
        <f t="shared" si="37"/>
        <v>0</v>
      </c>
      <c r="K49" s="248">
        <f t="shared" si="37"/>
        <v>0</v>
      </c>
      <c r="L49" s="248">
        <f t="shared" si="37"/>
        <v>0</v>
      </c>
      <c r="M49" s="248">
        <f t="shared" si="37"/>
        <v>0</v>
      </c>
      <c r="N49" s="248">
        <f t="shared" si="37"/>
        <v>0</v>
      </c>
      <c r="O49" s="248">
        <f t="shared" si="37"/>
        <v>0</v>
      </c>
      <c r="P49" s="248">
        <f t="shared" si="37"/>
        <v>0</v>
      </c>
      <c r="Q49" s="248">
        <f t="shared" si="37"/>
        <v>0</v>
      </c>
      <c r="R49" s="248">
        <f t="shared" si="37"/>
        <v>0</v>
      </c>
      <c r="S49" s="248">
        <f t="shared" si="37"/>
        <v>0</v>
      </c>
      <c r="T49" s="248">
        <f t="shared" si="37"/>
        <v>0</v>
      </c>
      <c r="U49" s="248">
        <f t="shared" si="37"/>
        <v>0</v>
      </c>
      <c r="V49" s="70"/>
    </row>
    <row r="50" spans="1:22" customFormat="1" x14ac:dyDescent="0.25">
      <c r="A50" s="262" t="s">
        <v>487</v>
      </c>
      <c r="B50" s="263"/>
      <c r="C50" s="263"/>
      <c r="D50" s="263">
        <f>SUM(D51:D52)</f>
        <v>400</v>
      </c>
      <c r="E50" s="263">
        <f>SUM(E51:E52)</f>
        <v>400</v>
      </c>
      <c r="F50" s="263">
        <f>SUM(F51:F52)</f>
        <v>0</v>
      </c>
      <c r="G50" s="263">
        <v>120</v>
      </c>
      <c r="H50" s="263">
        <f t="shared" ref="H50:K50" si="39">SUM(H51:H52)</f>
        <v>0</v>
      </c>
      <c r="I50" s="263">
        <f t="shared" si="39"/>
        <v>0</v>
      </c>
      <c r="J50" s="263">
        <f t="shared" si="39"/>
        <v>400</v>
      </c>
      <c r="K50" s="263">
        <f t="shared" si="39"/>
        <v>0</v>
      </c>
      <c r="L50" s="263">
        <f t="shared" ref="L50" si="40">SUM(L51:L52)</f>
        <v>0</v>
      </c>
      <c r="M50" s="263">
        <f t="shared" ref="M50" si="41">SUM(M51:M52)</f>
        <v>0</v>
      </c>
      <c r="N50" s="263">
        <f t="shared" ref="N50" si="42">SUM(N51:N52)</f>
        <v>0</v>
      </c>
      <c r="O50" s="263">
        <f t="shared" ref="O50" si="43">SUM(O51:O52)</f>
        <v>0</v>
      </c>
      <c r="P50" s="263">
        <f t="shared" ref="P50" si="44">SUM(P51:P52)</f>
        <v>0</v>
      </c>
      <c r="Q50" s="263">
        <f t="shared" ref="Q50" si="45">SUM(Q51:Q52)</f>
        <v>0</v>
      </c>
      <c r="R50" s="263">
        <f t="shared" ref="R50" si="46">SUM(R51:R52)</f>
        <v>0</v>
      </c>
      <c r="S50" s="263">
        <f t="shared" ref="S50" si="47">SUM(S51:S52)</f>
        <v>0</v>
      </c>
      <c r="T50" s="263">
        <f t="shared" ref="T50" si="48">SUM(T51:T52)</f>
        <v>0</v>
      </c>
      <c r="U50" s="263">
        <f t="shared" ref="U50" si="49">SUM(U51:U52)</f>
        <v>0</v>
      </c>
      <c r="V50" s="70"/>
    </row>
    <row r="51" spans="1:22" customFormat="1" x14ac:dyDescent="0.25">
      <c r="A51" s="261" t="s">
        <v>485</v>
      </c>
      <c r="B51" s="291">
        <v>1</v>
      </c>
      <c r="C51" s="317">
        <v>300000</v>
      </c>
      <c r="D51" s="248">
        <f>B51*C51/1000</f>
        <v>300</v>
      </c>
      <c r="E51" s="248">
        <f>D51</f>
        <v>300</v>
      </c>
      <c r="F51" s="248">
        <v>0</v>
      </c>
      <c r="G51" s="248">
        <v>0</v>
      </c>
      <c r="H51" s="248">
        <f t="shared" ref="H51:U52" si="50">$C51/1000*B$84</f>
        <v>0</v>
      </c>
      <c r="I51" s="248">
        <f t="shared" si="50"/>
        <v>0</v>
      </c>
      <c r="J51" s="248">
        <f t="shared" si="50"/>
        <v>300</v>
      </c>
      <c r="K51" s="248">
        <f t="shared" si="50"/>
        <v>0</v>
      </c>
      <c r="L51" s="248">
        <f t="shared" si="50"/>
        <v>0</v>
      </c>
      <c r="M51" s="248">
        <f t="shared" si="50"/>
        <v>0</v>
      </c>
      <c r="N51" s="248">
        <f t="shared" si="50"/>
        <v>0</v>
      </c>
      <c r="O51" s="248">
        <f t="shared" si="50"/>
        <v>0</v>
      </c>
      <c r="P51" s="248">
        <f t="shared" si="50"/>
        <v>0</v>
      </c>
      <c r="Q51" s="248">
        <f t="shared" si="50"/>
        <v>0</v>
      </c>
      <c r="R51" s="248">
        <f t="shared" si="50"/>
        <v>0</v>
      </c>
      <c r="S51" s="248">
        <f t="shared" si="50"/>
        <v>0</v>
      </c>
      <c r="T51" s="248">
        <f t="shared" si="50"/>
        <v>0</v>
      </c>
      <c r="U51" s="248">
        <f t="shared" si="50"/>
        <v>0</v>
      </c>
      <c r="V51" s="70"/>
    </row>
    <row r="52" spans="1:22" customFormat="1" x14ac:dyDescent="0.25">
      <c r="A52" s="261" t="s">
        <v>486</v>
      </c>
      <c r="B52" s="291">
        <v>1</v>
      </c>
      <c r="C52" s="317">
        <v>100000</v>
      </c>
      <c r="D52" s="248">
        <f t="shared" ref="D52" si="51">B52*C52/1000</f>
        <v>100</v>
      </c>
      <c r="E52" s="248">
        <f>D52</f>
        <v>100</v>
      </c>
      <c r="F52" s="248">
        <v>0</v>
      </c>
      <c r="G52" s="248">
        <v>0</v>
      </c>
      <c r="H52" s="248">
        <f t="shared" si="50"/>
        <v>0</v>
      </c>
      <c r="I52" s="248">
        <f t="shared" si="50"/>
        <v>0</v>
      </c>
      <c r="J52" s="248">
        <f t="shared" si="50"/>
        <v>100</v>
      </c>
      <c r="K52" s="248">
        <f t="shared" si="50"/>
        <v>0</v>
      </c>
      <c r="L52" s="248">
        <f t="shared" si="50"/>
        <v>0</v>
      </c>
      <c r="M52" s="248">
        <f t="shared" si="50"/>
        <v>0</v>
      </c>
      <c r="N52" s="248">
        <f t="shared" si="50"/>
        <v>0</v>
      </c>
      <c r="O52" s="248">
        <f t="shared" si="50"/>
        <v>0</v>
      </c>
      <c r="P52" s="248">
        <f t="shared" si="50"/>
        <v>0</v>
      </c>
      <c r="Q52" s="248">
        <f t="shared" si="50"/>
        <v>0</v>
      </c>
      <c r="R52" s="248">
        <f t="shared" si="50"/>
        <v>0</v>
      </c>
      <c r="S52" s="248">
        <f t="shared" si="50"/>
        <v>0</v>
      </c>
      <c r="T52" s="248">
        <f t="shared" si="50"/>
        <v>0</v>
      </c>
      <c r="U52" s="248">
        <f t="shared" si="50"/>
        <v>0</v>
      </c>
      <c r="V52" s="70"/>
    </row>
    <row r="53" spans="1:22" customFormat="1" x14ac:dyDescent="0.25">
      <c r="A53" s="262" t="s">
        <v>488</v>
      </c>
      <c r="B53" s="263"/>
      <c r="C53" s="263"/>
      <c r="D53" s="263">
        <f>SUM(D54:D55)</f>
        <v>1000</v>
      </c>
      <c r="E53" s="263">
        <f>SUM(E54:E55)</f>
        <v>1000</v>
      </c>
      <c r="F53" s="263">
        <f>SUM(F54:F55)</f>
        <v>0</v>
      </c>
      <c r="G53" s="263">
        <v>84</v>
      </c>
      <c r="H53" s="263">
        <f t="shared" ref="H53:K53" si="52">SUM(H54:H55)</f>
        <v>0</v>
      </c>
      <c r="I53" s="263">
        <f t="shared" si="52"/>
        <v>0</v>
      </c>
      <c r="J53" s="263">
        <f t="shared" si="52"/>
        <v>0</v>
      </c>
      <c r="K53" s="263">
        <f t="shared" si="52"/>
        <v>0</v>
      </c>
      <c r="L53" s="263">
        <f t="shared" ref="L53" si="53">SUM(L54:L55)</f>
        <v>0</v>
      </c>
      <c r="M53" s="263">
        <f t="shared" ref="M53" si="54">SUM(M54:M55)</f>
        <v>250</v>
      </c>
      <c r="N53" s="263">
        <f t="shared" ref="N53" si="55">SUM(N54:N55)</f>
        <v>250</v>
      </c>
      <c r="O53" s="263">
        <f t="shared" ref="O53" si="56">SUM(O54:O55)</f>
        <v>500</v>
      </c>
      <c r="P53" s="263">
        <f t="shared" ref="P53" si="57">SUM(P54:P55)</f>
        <v>0</v>
      </c>
      <c r="Q53" s="263">
        <f t="shared" ref="Q53" si="58">SUM(Q54:Q55)</f>
        <v>0</v>
      </c>
      <c r="R53" s="263">
        <f t="shared" ref="R53" si="59">SUM(R54:R55)</f>
        <v>0</v>
      </c>
      <c r="S53" s="263">
        <f t="shared" ref="S53" si="60">SUM(S54:S55)</f>
        <v>0</v>
      </c>
      <c r="T53" s="263">
        <f t="shared" ref="T53" si="61">SUM(T54:T55)</f>
        <v>0</v>
      </c>
      <c r="U53" s="263">
        <f t="shared" ref="U53" si="62">SUM(U54:U55)</f>
        <v>0</v>
      </c>
      <c r="V53" s="70"/>
    </row>
    <row r="54" spans="1:22" customFormat="1" x14ac:dyDescent="0.25">
      <c r="A54" s="261" t="s">
        <v>485</v>
      </c>
      <c r="B54" s="291">
        <v>4</v>
      </c>
      <c r="C54" s="317">
        <v>200000</v>
      </c>
      <c r="D54" s="248">
        <f>B54*C54/1000</f>
        <v>800</v>
      </c>
      <c r="E54" s="248">
        <f>D54</f>
        <v>800</v>
      </c>
      <c r="F54" s="248">
        <v>0</v>
      </c>
      <c r="G54" s="248">
        <v>0</v>
      </c>
      <c r="H54" s="248">
        <f t="shared" ref="H54:U55" si="63">$C54/1000*B$89</f>
        <v>0</v>
      </c>
      <c r="I54" s="248">
        <f t="shared" si="63"/>
        <v>0</v>
      </c>
      <c r="J54" s="248">
        <f t="shared" si="63"/>
        <v>0</v>
      </c>
      <c r="K54" s="248">
        <f t="shared" si="63"/>
        <v>0</v>
      </c>
      <c r="L54" s="248">
        <f t="shared" si="63"/>
        <v>0</v>
      </c>
      <c r="M54" s="248">
        <f t="shared" si="63"/>
        <v>200</v>
      </c>
      <c r="N54" s="248">
        <f t="shared" si="63"/>
        <v>200</v>
      </c>
      <c r="O54" s="248">
        <f t="shared" si="63"/>
        <v>400</v>
      </c>
      <c r="P54" s="248">
        <f t="shared" si="63"/>
        <v>0</v>
      </c>
      <c r="Q54" s="248">
        <f t="shared" si="63"/>
        <v>0</v>
      </c>
      <c r="R54" s="248">
        <f t="shared" si="63"/>
        <v>0</v>
      </c>
      <c r="S54" s="248">
        <f t="shared" si="63"/>
        <v>0</v>
      </c>
      <c r="T54" s="248">
        <f t="shared" si="63"/>
        <v>0</v>
      </c>
      <c r="U54" s="248">
        <f t="shared" si="63"/>
        <v>0</v>
      </c>
      <c r="V54" s="70"/>
    </row>
    <row r="55" spans="1:22" customFormat="1" x14ac:dyDescent="0.25">
      <c r="A55" s="261" t="s">
        <v>486</v>
      </c>
      <c r="B55" s="291">
        <v>4</v>
      </c>
      <c r="C55" s="317">
        <v>50000</v>
      </c>
      <c r="D55" s="248">
        <f t="shared" ref="D55" si="64">B55*C55/1000</f>
        <v>200</v>
      </c>
      <c r="E55" s="248">
        <f>D55</f>
        <v>200</v>
      </c>
      <c r="F55" s="248">
        <v>0</v>
      </c>
      <c r="G55" s="248">
        <v>0</v>
      </c>
      <c r="H55" s="248">
        <f t="shared" si="63"/>
        <v>0</v>
      </c>
      <c r="I55" s="248">
        <f t="shared" si="63"/>
        <v>0</v>
      </c>
      <c r="J55" s="248">
        <f t="shared" si="63"/>
        <v>0</v>
      </c>
      <c r="K55" s="248">
        <f t="shared" si="63"/>
        <v>0</v>
      </c>
      <c r="L55" s="248">
        <f t="shared" si="63"/>
        <v>0</v>
      </c>
      <c r="M55" s="248">
        <f t="shared" si="63"/>
        <v>50</v>
      </c>
      <c r="N55" s="248">
        <f t="shared" si="63"/>
        <v>50</v>
      </c>
      <c r="O55" s="248">
        <f t="shared" si="63"/>
        <v>100</v>
      </c>
      <c r="P55" s="248">
        <f t="shared" si="63"/>
        <v>0</v>
      </c>
      <c r="Q55" s="248">
        <f t="shared" si="63"/>
        <v>0</v>
      </c>
      <c r="R55" s="248">
        <f t="shared" si="63"/>
        <v>0</v>
      </c>
      <c r="S55" s="248">
        <f t="shared" si="63"/>
        <v>0</v>
      </c>
      <c r="T55" s="248">
        <f t="shared" si="63"/>
        <v>0</v>
      </c>
      <c r="U55" s="248">
        <f t="shared" si="63"/>
        <v>0</v>
      </c>
      <c r="V55" s="70"/>
    </row>
    <row r="56" spans="1:22" customFormat="1" x14ac:dyDescent="0.25">
      <c r="A56" s="262" t="s">
        <v>489</v>
      </c>
      <c r="B56" s="263"/>
      <c r="C56" s="263"/>
      <c r="D56" s="263">
        <f>SUM(D57:D58)</f>
        <v>12000</v>
      </c>
      <c r="E56" s="263">
        <f>SUM(E57:E58)</f>
        <v>12000</v>
      </c>
      <c r="F56" s="263">
        <f>SUM(F57:F58)</f>
        <v>0</v>
      </c>
      <c r="G56" s="263">
        <v>120</v>
      </c>
      <c r="H56" s="263">
        <f t="shared" ref="H56:K56" si="65">SUM(H57:H58)</f>
        <v>0</v>
      </c>
      <c r="I56" s="263">
        <f t="shared" si="65"/>
        <v>0</v>
      </c>
      <c r="J56" s="263">
        <f t="shared" si="65"/>
        <v>0</v>
      </c>
      <c r="K56" s="263">
        <f t="shared" si="65"/>
        <v>0</v>
      </c>
      <c r="L56" s="263">
        <f t="shared" ref="L56" si="66">SUM(L57:L58)</f>
        <v>6000</v>
      </c>
      <c r="M56" s="263">
        <f t="shared" ref="M56" si="67">SUM(M57:M58)</f>
        <v>6000</v>
      </c>
      <c r="N56" s="263">
        <f t="shared" ref="N56" si="68">SUM(N57:N58)</f>
        <v>0</v>
      </c>
      <c r="O56" s="263">
        <f t="shared" ref="O56" si="69">SUM(O57:O58)</f>
        <v>0</v>
      </c>
      <c r="P56" s="263">
        <f t="shared" ref="P56" si="70">SUM(P57:P58)</f>
        <v>0</v>
      </c>
      <c r="Q56" s="263">
        <f t="shared" ref="Q56" si="71">SUM(Q57:Q58)</f>
        <v>0</v>
      </c>
      <c r="R56" s="263">
        <f t="shared" ref="R56" si="72">SUM(R57:R58)</f>
        <v>0</v>
      </c>
      <c r="S56" s="263">
        <f t="shared" ref="S56" si="73">SUM(S57:S58)</f>
        <v>0</v>
      </c>
      <c r="T56" s="263">
        <f t="shared" ref="T56" si="74">SUM(T57:T58)</f>
        <v>0</v>
      </c>
      <c r="U56" s="263">
        <f t="shared" ref="U56" si="75">SUM(U57:U58)</f>
        <v>0</v>
      </c>
      <c r="V56" s="70"/>
    </row>
    <row r="57" spans="1:22" customFormat="1" x14ac:dyDescent="0.25">
      <c r="A57" s="261" t="s">
        <v>485</v>
      </c>
      <c r="B57" s="291">
        <v>1</v>
      </c>
      <c r="C57" s="317">
        <v>9000000</v>
      </c>
      <c r="D57" s="248">
        <f>B57*C57/1000</f>
        <v>9000</v>
      </c>
      <c r="E57" s="248">
        <f>D57</f>
        <v>9000</v>
      </c>
      <c r="F57" s="248">
        <v>0</v>
      </c>
      <c r="G57" s="248">
        <v>0</v>
      </c>
      <c r="H57" s="248">
        <f t="shared" ref="H57:U58" si="76">$C57/1000*B$87</f>
        <v>0</v>
      </c>
      <c r="I57" s="248">
        <f t="shared" si="76"/>
        <v>0</v>
      </c>
      <c r="J57" s="248">
        <f t="shared" si="76"/>
        <v>0</v>
      </c>
      <c r="K57" s="248">
        <f t="shared" si="76"/>
        <v>0</v>
      </c>
      <c r="L57" s="248">
        <f t="shared" si="76"/>
        <v>4500</v>
      </c>
      <c r="M57" s="248">
        <f t="shared" si="76"/>
        <v>4500</v>
      </c>
      <c r="N57" s="248">
        <f t="shared" si="76"/>
        <v>0</v>
      </c>
      <c r="O57" s="248">
        <f t="shared" si="76"/>
        <v>0</v>
      </c>
      <c r="P57" s="248">
        <f t="shared" si="76"/>
        <v>0</v>
      </c>
      <c r="Q57" s="248">
        <f t="shared" si="76"/>
        <v>0</v>
      </c>
      <c r="R57" s="248">
        <f t="shared" si="76"/>
        <v>0</v>
      </c>
      <c r="S57" s="248">
        <f t="shared" si="76"/>
        <v>0</v>
      </c>
      <c r="T57" s="248">
        <f t="shared" si="76"/>
        <v>0</v>
      </c>
      <c r="U57" s="248">
        <f t="shared" si="76"/>
        <v>0</v>
      </c>
      <c r="V57" s="70"/>
    </row>
    <row r="58" spans="1:22" customFormat="1" x14ac:dyDescent="0.25">
      <c r="A58" s="261" t="s">
        <v>486</v>
      </c>
      <c r="B58" s="291">
        <v>1</v>
      </c>
      <c r="C58" s="317">
        <v>3000000</v>
      </c>
      <c r="D58" s="248">
        <f t="shared" ref="D58" si="77">B58*C58/1000</f>
        <v>3000</v>
      </c>
      <c r="E58" s="248">
        <f>D58</f>
        <v>3000</v>
      </c>
      <c r="F58" s="248">
        <v>0</v>
      </c>
      <c r="G58" s="248">
        <v>0</v>
      </c>
      <c r="H58" s="248">
        <f t="shared" si="76"/>
        <v>0</v>
      </c>
      <c r="I58" s="248">
        <f t="shared" si="76"/>
        <v>0</v>
      </c>
      <c r="J58" s="248">
        <f t="shared" si="76"/>
        <v>0</v>
      </c>
      <c r="K58" s="248">
        <f t="shared" si="76"/>
        <v>0</v>
      </c>
      <c r="L58" s="248">
        <f t="shared" si="76"/>
        <v>1500</v>
      </c>
      <c r="M58" s="248">
        <f t="shared" si="76"/>
        <v>1500</v>
      </c>
      <c r="N58" s="248">
        <f t="shared" si="76"/>
        <v>0</v>
      </c>
      <c r="O58" s="248">
        <f t="shared" si="76"/>
        <v>0</v>
      </c>
      <c r="P58" s="248">
        <f t="shared" si="76"/>
        <v>0</v>
      </c>
      <c r="Q58" s="248">
        <f t="shared" si="76"/>
        <v>0</v>
      </c>
      <c r="R58" s="248">
        <f t="shared" si="76"/>
        <v>0</v>
      </c>
      <c r="S58" s="248">
        <f t="shared" si="76"/>
        <v>0</v>
      </c>
      <c r="T58" s="248">
        <f t="shared" si="76"/>
        <v>0</v>
      </c>
      <c r="U58" s="248">
        <f t="shared" si="76"/>
        <v>0</v>
      </c>
      <c r="V58" s="70"/>
    </row>
    <row r="59" spans="1:22" customFormat="1" ht="14.25" customHeight="1" x14ac:dyDescent="0.25">
      <c r="A59" s="262" t="s">
        <v>496</v>
      </c>
      <c r="B59" s="263"/>
      <c r="C59" s="263"/>
      <c r="D59" s="263">
        <f>SUM(D60:D65)</f>
        <v>1400</v>
      </c>
      <c r="E59" s="263">
        <f>SUM(E60:E65)</f>
        <v>1400</v>
      </c>
      <c r="F59" s="263">
        <f>SUM(F60:F65)</f>
        <v>0</v>
      </c>
      <c r="G59" s="263">
        <v>60</v>
      </c>
      <c r="H59" s="263">
        <f t="shared" ref="H59:K59" si="78">SUM(H60:H65)</f>
        <v>0</v>
      </c>
      <c r="I59" s="263">
        <f t="shared" si="78"/>
        <v>0</v>
      </c>
      <c r="J59" s="263">
        <f t="shared" si="78"/>
        <v>400</v>
      </c>
      <c r="K59" s="263">
        <f t="shared" si="78"/>
        <v>250</v>
      </c>
      <c r="L59" s="263">
        <f t="shared" ref="L59" si="79">SUM(L60:L65)</f>
        <v>0</v>
      </c>
      <c r="M59" s="263">
        <f t="shared" ref="M59" si="80">SUM(M60:M65)</f>
        <v>0</v>
      </c>
      <c r="N59" s="263">
        <f t="shared" ref="N59" si="81">SUM(N60:N65)</f>
        <v>0</v>
      </c>
      <c r="O59" s="263">
        <f t="shared" ref="O59" si="82">SUM(O60:O65)</f>
        <v>600</v>
      </c>
      <c r="P59" s="263">
        <f t="shared" ref="P59" si="83">SUM(P60:P65)</f>
        <v>150</v>
      </c>
      <c r="Q59" s="263">
        <f t="shared" ref="Q59" si="84">SUM(Q60:Q65)</f>
        <v>0</v>
      </c>
      <c r="R59" s="263">
        <f t="shared" ref="R59" si="85">SUM(R60:R65)</f>
        <v>0</v>
      </c>
      <c r="S59" s="263">
        <f t="shared" ref="S59" si="86">SUM(S60:S65)</f>
        <v>0</v>
      </c>
      <c r="T59" s="263">
        <f t="shared" ref="T59" si="87">SUM(T60:T65)</f>
        <v>0</v>
      </c>
      <c r="U59" s="263">
        <f t="shared" ref="U59" si="88">SUM(U60:U65)</f>
        <v>0</v>
      </c>
      <c r="V59" s="70"/>
    </row>
    <row r="60" spans="1:22" customFormat="1" x14ac:dyDescent="0.25">
      <c r="A60" s="261" t="s">
        <v>490</v>
      </c>
      <c r="B60" s="291">
        <v>1</v>
      </c>
      <c r="C60" s="320">
        <v>200000</v>
      </c>
      <c r="D60" s="248">
        <f>B60*C60/1000</f>
        <v>200</v>
      </c>
      <c r="E60" s="248">
        <f>D60</f>
        <v>200</v>
      </c>
      <c r="F60" s="248">
        <v>0</v>
      </c>
      <c r="G60" s="248">
        <v>0</v>
      </c>
      <c r="H60" s="248">
        <f t="shared" ref="H60:U60" si="89">$C60/1000*B$90</f>
        <v>0</v>
      </c>
      <c r="I60" s="248">
        <f t="shared" si="89"/>
        <v>0</v>
      </c>
      <c r="J60" s="248">
        <f t="shared" si="89"/>
        <v>0</v>
      </c>
      <c r="K60" s="248">
        <f t="shared" si="89"/>
        <v>0</v>
      </c>
      <c r="L60" s="248">
        <f t="shared" si="89"/>
        <v>0</v>
      </c>
      <c r="M60" s="248">
        <f t="shared" si="89"/>
        <v>0</v>
      </c>
      <c r="N60" s="248">
        <f t="shared" si="89"/>
        <v>0</v>
      </c>
      <c r="O60" s="248">
        <f t="shared" si="89"/>
        <v>200</v>
      </c>
      <c r="P60" s="248">
        <f t="shared" si="89"/>
        <v>0</v>
      </c>
      <c r="Q60" s="248">
        <f t="shared" si="89"/>
        <v>0</v>
      </c>
      <c r="R60" s="248">
        <f t="shared" si="89"/>
        <v>0</v>
      </c>
      <c r="S60" s="248">
        <f t="shared" si="89"/>
        <v>0</v>
      </c>
      <c r="T60" s="248">
        <f t="shared" si="89"/>
        <v>0</v>
      </c>
      <c r="U60" s="248">
        <f t="shared" si="89"/>
        <v>0</v>
      </c>
      <c r="V60" s="70"/>
    </row>
    <row r="61" spans="1:22" customFormat="1" x14ac:dyDescent="0.25">
      <c r="A61" s="261" t="s">
        <v>491</v>
      </c>
      <c r="B61" s="291">
        <v>1</v>
      </c>
      <c r="C61" s="320">
        <v>100000</v>
      </c>
      <c r="D61" s="248">
        <f t="shared" ref="D61:D65" si="90">B61*C61/1000</f>
        <v>100</v>
      </c>
      <c r="E61" s="248">
        <f t="shared" ref="E61:E65" si="91">D61</f>
        <v>100</v>
      </c>
      <c r="F61" s="248">
        <v>0</v>
      </c>
      <c r="G61" s="248">
        <v>0</v>
      </c>
      <c r="H61" s="248">
        <f t="shared" ref="H61:U61" si="92">$C61/1000*B$91</f>
        <v>0</v>
      </c>
      <c r="I61" s="248">
        <f t="shared" si="92"/>
        <v>0</v>
      </c>
      <c r="J61" s="248">
        <f t="shared" si="92"/>
        <v>0</v>
      </c>
      <c r="K61" s="248">
        <f t="shared" si="92"/>
        <v>0</v>
      </c>
      <c r="L61" s="248">
        <f t="shared" si="92"/>
        <v>0</v>
      </c>
      <c r="M61" s="248">
        <f t="shared" si="92"/>
        <v>0</v>
      </c>
      <c r="N61" s="248">
        <f t="shared" si="92"/>
        <v>0</v>
      </c>
      <c r="O61" s="248">
        <f t="shared" si="92"/>
        <v>0</v>
      </c>
      <c r="P61" s="248">
        <f t="shared" si="92"/>
        <v>100</v>
      </c>
      <c r="Q61" s="248">
        <f t="shared" si="92"/>
        <v>0</v>
      </c>
      <c r="R61" s="248">
        <f t="shared" si="92"/>
        <v>0</v>
      </c>
      <c r="S61" s="248">
        <f t="shared" si="92"/>
        <v>0</v>
      </c>
      <c r="T61" s="248">
        <f t="shared" si="92"/>
        <v>0</v>
      </c>
      <c r="U61" s="248">
        <f t="shared" si="92"/>
        <v>0</v>
      </c>
      <c r="V61" s="70"/>
    </row>
    <row r="62" spans="1:22" customFormat="1" x14ac:dyDescent="0.25">
      <c r="A62" s="261" t="s">
        <v>492</v>
      </c>
      <c r="B62" s="291">
        <v>4</v>
      </c>
      <c r="C62" s="320">
        <v>100000</v>
      </c>
      <c r="D62" s="248">
        <f t="shared" si="90"/>
        <v>400</v>
      </c>
      <c r="E62" s="248">
        <f t="shared" si="91"/>
        <v>400</v>
      </c>
      <c r="F62" s="248">
        <v>0</v>
      </c>
      <c r="G62" s="248">
        <v>0</v>
      </c>
      <c r="H62" s="248">
        <f t="shared" ref="H62:P62" si="93">$C62/1000*B$93</f>
        <v>0</v>
      </c>
      <c r="I62" s="248">
        <f t="shared" si="93"/>
        <v>0</v>
      </c>
      <c r="J62" s="248">
        <f t="shared" si="93"/>
        <v>0</v>
      </c>
      <c r="K62" s="248">
        <f t="shared" si="93"/>
        <v>0</v>
      </c>
      <c r="L62" s="248">
        <f t="shared" si="93"/>
        <v>0</v>
      </c>
      <c r="M62" s="248">
        <f t="shared" si="93"/>
        <v>0</v>
      </c>
      <c r="N62" s="248">
        <f t="shared" si="93"/>
        <v>0</v>
      </c>
      <c r="O62" s="248">
        <f t="shared" si="93"/>
        <v>400</v>
      </c>
      <c r="P62" s="248">
        <f t="shared" si="93"/>
        <v>0</v>
      </c>
      <c r="Q62" s="248">
        <f>$C62/1000*B62*K$93</f>
        <v>0</v>
      </c>
      <c r="R62" s="248">
        <f>$C62/1000*L$93</f>
        <v>0</v>
      </c>
      <c r="S62" s="248">
        <f>$C62/1000*M$93</f>
        <v>0</v>
      </c>
      <c r="T62" s="248">
        <f>$C62/1000*N$93</f>
        <v>0</v>
      </c>
      <c r="U62" s="248">
        <f>$C62/1000*O$93</f>
        <v>0</v>
      </c>
      <c r="V62" s="70"/>
    </row>
    <row r="63" spans="1:22" customFormat="1" x14ac:dyDescent="0.25">
      <c r="A63" s="261" t="s">
        <v>493</v>
      </c>
      <c r="B63" s="291">
        <v>1</v>
      </c>
      <c r="C63" s="320">
        <v>50000</v>
      </c>
      <c r="D63" s="248">
        <f t="shared" si="90"/>
        <v>50</v>
      </c>
      <c r="E63" s="248">
        <f t="shared" si="91"/>
        <v>50</v>
      </c>
      <c r="F63" s="248">
        <v>0</v>
      </c>
      <c r="G63" s="248">
        <v>0</v>
      </c>
      <c r="H63" s="248">
        <f t="shared" ref="H63:U63" si="94">$C63/1000*B$94</f>
        <v>0</v>
      </c>
      <c r="I63" s="248">
        <f t="shared" si="94"/>
        <v>0</v>
      </c>
      <c r="J63" s="248">
        <f t="shared" si="94"/>
        <v>0</v>
      </c>
      <c r="K63" s="248">
        <f t="shared" si="94"/>
        <v>0</v>
      </c>
      <c r="L63" s="248">
        <f t="shared" si="94"/>
        <v>0</v>
      </c>
      <c r="M63" s="248">
        <f t="shared" si="94"/>
        <v>0</v>
      </c>
      <c r="N63" s="248">
        <f t="shared" si="94"/>
        <v>0</v>
      </c>
      <c r="O63" s="248">
        <f t="shared" si="94"/>
        <v>0</v>
      </c>
      <c r="P63" s="248">
        <f t="shared" si="94"/>
        <v>50</v>
      </c>
      <c r="Q63" s="248">
        <f t="shared" si="94"/>
        <v>0</v>
      </c>
      <c r="R63" s="248">
        <f t="shared" si="94"/>
        <v>0</v>
      </c>
      <c r="S63" s="248">
        <f t="shared" si="94"/>
        <v>0</v>
      </c>
      <c r="T63" s="248">
        <f t="shared" si="94"/>
        <v>0</v>
      </c>
      <c r="U63" s="248">
        <f t="shared" si="94"/>
        <v>0</v>
      </c>
      <c r="V63" s="70"/>
    </row>
    <row r="64" spans="1:22" customFormat="1" x14ac:dyDescent="0.25">
      <c r="A64" s="261" t="s">
        <v>494</v>
      </c>
      <c r="B64" s="291">
        <v>1</v>
      </c>
      <c r="C64" s="320">
        <v>250000</v>
      </c>
      <c r="D64" s="248">
        <f t="shared" si="90"/>
        <v>250</v>
      </c>
      <c r="E64" s="248">
        <f t="shared" si="91"/>
        <v>250</v>
      </c>
      <c r="F64" s="248">
        <v>0</v>
      </c>
      <c r="G64" s="248">
        <v>0</v>
      </c>
      <c r="H64" s="248">
        <f t="shared" ref="H64:U64" si="95">$C64/1000*B$86</f>
        <v>0</v>
      </c>
      <c r="I64" s="248">
        <f t="shared" si="95"/>
        <v>0</v>
      </c>
      <c r="J64" s="248">
        <f t="shared" si="95"/>
        <v>0</v>
      </c>
      <c r="K64" s="248">
        <f t="shared" si="95"/>
        <v>250</v>
      </c>
      <c r="L64" s="248">
        <f t="shared" si="95"/>
        <v>0</v>
      </c>
      <c r="M64" s="248">
        <f t="shared" si="95"/>
        <v>0</v>
      </c>
      <c r="N64" s="248">
        <f t="shared" si="95"/>
        <v>0</v>
      </c>
      <c r="O64" s="248">
        <f t="shared" si="95"/>
        <v>0</v>
      </c>
      <c r="P64" s="248">
        <f t="shared" si="95"/>
        <v>0</v>
      </c>
      <c r="Q64" s="248">
        <f t="shared" si="95"/>
        <v>0</v>
      </c>
      <c r="R64" s="248">
        <f t="shared" si="95"/>
        <v>0</v>
      </c>
      <c r="S64" s="248">
        <f t="shared" si="95"/>
        <v>0</v>
      </c>
      <c r="T64" s="248">
        <f t="shared" si="95"/>
        <v>0</v>
      </c>
      <c r="U64" s="248">
        <f t="shared" si="95"/>
        <v>0</v>
      </c>
      <c r="V64" s="70"/>
    </row>
    <row r="65" spans="1:22" customFormat="1" x14ac:dyDescent="0.25">
      <c r="A65" s="261" t="s">
        <v>495</v>
      </c>
      <c r="B65" s="291">
        <v>1</v>
      </c>
      <c r="C65" s="320">
        <v>400000</v>
      </c>
      <c r="D65" s="248">
        <f t="shared" si="90"/>
        <v>400</v>
      </c>
      <c r="E65" s="248">
        <f t="shared" si="91"/>
        <v>400</v>
      </c>
      <c r="F65" s="248">
        <v>0</v>
      </c>
      <c r="G65" s="248">
        <v>0</v>
      </c>
      <c r="H65" s="248">
        <f t="shared" ref="H65:U65" si="96">$C65/1000*B$83</f>
        <v>0</v>
      </c>
      <c r="I65" s="248">
        <f t="shared" si="96"/>
        <v>0</v>
      </c>
      <c r="J65" s="248">
        <f t="shared" si="96"/>
        <v>400</v>
      </c>
      <c r="K65" s="248">
        <f t="shared" si="96"/>
        <v>0</v>
      </c>
      <c r="L65" s="248">
        <f t="shared" si="96"/>
        <v>0</v>
      </c>
      <c r="M65" s="248">
        <f t="shared" si="96"/>
        <v>0</v>
      </c>
      <c r="N65" s="248">
        <f t="shared" si="96"/>
        <v>0</v>
      </c>
      <c r="O65" s="248">
        <f t="shared" si="96"/>
        <v>0</v>
      </c>
      <c r="P65" s="248">
        <f t="shared" si="96"/>
        <v>0</v>
      </c>
      <c r="Q65" s="248">
        <f t="shared" si="96"/>
        <v>0</v>
      </c>
      <c r="R65" s="248">
        <f t="shared" si="96"/>
        <v>0</v>
      </c>
      <c r="S65" s="248">
        <f t="shared" si="96"/>
        <v>0</v>
      </c>
      <c r="T65" s="248">
        <f t="shared" si="96"/>
        <v>0</v>
      </c>
      <c r="U65" s="248">
        <f t="shared" si="96"/>
        <v>0</v>
      </c>
      <c r="V65" s="70"/>
    </row>
    <row r="66" spans="1:22" customFormat="1" ht="14.25" customHeight="1" x14ac:dyDescent="0.25">
      <c r="A66" s="262" t="s">
        <v>497</v>
      </c>
      <c r="B66" s="263"/>
      <c r="C66" s="263"/>
      <c r="D66" s="263">
        <f>SUM(D67:D68)</f>
        <v>7600</v>
      </c>
      <c r="E66" s="263">
        <f t="shared" ref="E66:F66" si="97">SUM(E67:E68)</f>
        <v>7600</v>
      </c>
      <c r="F66" s="263">
        <f t="shared" si="97"/>
        <v>0</v>
      </c>
      <c r="G66" s="263">
        <f t="shared" ref="G66" si="98">SUM(G67:G68)</f>
        <v>0</v>
      </c>
      <c r="H66" s="263">
        <f t="shared" ref="H66" si="99">SUM(H67:H68)</f>
        <v>0</v>
      </c>
      <c r="I66" s="263">
        <f t="shared" ref="I66" si="100">SUM(I67:I68)</f>
        <v>0</v>
      </c>
      <c r="J66" s="263">
        <f t="shared" ref="J66" si="101">SUM(J67:J68)</f>
        <v>0</v>
      </c>
      <c r="K66" s="263">
        <f t="shared" ref="K66" si="102">SUM(K67:K68)</f>
        <v>1200</v>
      </c>
      <c r="L66" s="263">
        <f t="shared" ref="L66" si="103">SUM(L67:L68)</f>
        <v>2280</v>
      </c>
      <c r="M66" s="263">
        <f t="shared" ref="M66" si="104">SUM(M67:M68)</f>
        <v>2680</v>
      </c>
      <c r="N66" s="263">
        <f t="shared" ref="N66" si="105">SUM(N67:N68)</f>
        <v>1440</v>
      </c>
      <c r="O66" s="263">
        <f t="shared" ref="O66" si="106">SUM(O67:O68)</f>
        <v>0</v>
      </c>
      <c r="P66" s="263">
        <f t="shared" ref="P66" si="107">SUM(P67:P68)</f>
        <v>0</v>
      </c>
      <c r="Q66" s="263">
        <f t="shared" ref="Q66" si="108">SUM(Q67:Q68)</f>
        <v>0</v>
      </c>
      <c r="R66" s="263">
        <f t="shared" ref="R66" si="109">SUM(R67:R68)</f>
        <v>0</v>
      </c>
      <c r="S66" s="263">
        <f t="shared" ref="S66" si="110">SUM(S67:S68)</f>
        <v>0</v>
      </c>
      <c r="T66" s="263">
        <f t="shared" ref="T66" si="111">SUM(T67:T68)</f>
        <v>0</v>
      </c>
      <c r="U66" s="263">
        <f t="shared" ref="U66" si="112">SUM(U67:U68)</f>
        <v>0</v>
      </c>
      <c r="V66" s="70"/>
    </row>
    <row r="67" spans="1:22" customFormat="1" x14ac:dyDescent="0.25">
      <c r="A67" s="261" t="s">
        <v>500</v>
      </c>
      <c r="B67" s="291">
        <v>1</v>
      </c>
      <c r="C67" s="320">
        <v>3600000</v>
      </c>
      <c r="D67" s="248">
        <f>B67*C67/1000</f>
        <v>3600</v>
      </c>
      <c r="E67" s="248">
        <f>D67</f>
        <v>3600</v>
      </c>
      <c r="F67" s="248">
        <v>0</v>
      </c>
      <c r="G67" s="248">
        <v>0</v>
      </c>
      <c r="H67" s="248">
        <v>0</v>
      </c>
      <c r="I67" s="248">
        <v>0</v>
      </c>
      <c r="J67" s="248">
        <v>0</v>
      </c>
      <c r="K67" s="248">
        <v>0</v>
      </c>
      <c r="L67" s="248">
        <f>$D67*0.3</f>
        <v>1080</v>
      </c>
      <c r="M67" s="248">
        <f>$D67*0.3</f>
        <v>1080</v>
      </c>
      <c r="N67" s="248">
        <f>$D67*0.4</f>
        <v>1440</v>
      </c>
      <c r="O67" s="248">
        <v>0</v>
      </c>
      <c r="P67" s="248">
        <v>0</v>
      </c>
      <c r="Q67" s="248">
        <v>0</v>
      </c>
      <c r="R67" s="248">
        <v>0</v>
      </c>
      <c r="S67" s="248">
        <v>0</v>
      </c>
      <c r="T67" s="248">
        <v>0</v>
      </c>
      <c r="U67" s="248">
        <v>0</v>
      </c>
      <c r="V67" s="70"/>
    </row>
    <row r="68" spans="1:22" customFormat="1" x14ac:dyDescent="0.25">
      <c r="A68" s="261" t="s">
        <v>501</v>
      </c>
      <c r="B68" s="291">
        <v>1</v>
      </c>
      <c r="C68" s="320">
        <v>4000000</v>
      </c>
      <c r="D68" s="248">
        <f t="shared" ref="D68" si="113">B68*C68/1000</f>
        <v>4000</v>
      </c>
      <c r="E68" s="248">
        <f>D68</f>
        <v>4000</v>
      </c>
      <c r="F68" s="248">
        <v>0</v>
      </c>
      <c r="G68" s="248">
        <v>0</v>
      </c>
      <c r="H68" s="248">
        <v>0</v>
      </c>
      <c r="I68" s="248">
        <v>0</v>
      </c>
      <c r="J68" s="248">
        <v>0</v>
      </c>
      <c r="K68" s="248">
        <f>$D68*0.3</f>
        <v>1200</v>
      </c>
      <c r="L68" s="248">
        <f t="shared" ref="L68" si="114">$D68*0.3</f>
        <v>1200</v>
      </c>
      <c r="M68" s="248">
        <f>$D68*0.4</f>
        <v>1600</v>
      </c>
      <c r="N68" s="248">
        <v>0</v>
      </c>
      <c r="O68" s="248">
        <v>0</v>
      </c>
      <c r="P68" s="248">
        <v>0</v>
      </c>
      <c r="Q68" s="248">
        <v>0</v>
      </c>
      <c r="R68" s="248">
        <v>0</v>
      </c>
      <c r="S68" s="248">
        <v>0</v>
      </c>
      <c r="T68" s="248">
        <v>0</v>
      </c>
      <c r="U68" s="248">
        <v>0</v>
      </c>
      <c r="V68" s="70"/>
    </row>
    <row r="69" spans="1:22" customFormat="1" ht="14.25" customHeight="1" x14ac:dyDescent="0.25">
      <c r="A69" s="262" t="s">
        <v>498</v>
      </c>
      <c r="B69" s="263">
        <v>1</v>
      </c>
      <c r="C69" s="263">
        <v>2426886.8928</v>
      </c>
      <c r="D69" s="263">
        <f>B69*C69/1000</f>
        <v>2426.8868928000002</v>
      </c>
      <c r="E69" s="263">
        <f>D69</f>
        <v>2426.8868928000002</v>
      </c>
      <c r="F69" s="263">
        <v>0</v>
      </c>
      <c r="G69" s="263">
        <v>120</v>
      </c>
      <c r="H69" s="263">
        <v>0</v>
      </c>
      <c r="I69" s="263">
        <f>D69*0.5</f>
        <v>1213.4434464000001</v>
      </c>
      <c r="J69" s="263">
        <f>I69</f>
        <v>1213.4434464000001</v>
      </c>
      <c r="K69" s="263">
        <v>0</v>
      </c>
      <c r="L69" s="263">
        <v>0</v>
      </c>
      <c r="M69" s="263">
        <v>0</v>
      </c>
      <c r="N69" s="263">
        <v>0</v>
      </c>
      <c r="O69" s="263">
        <v>0</v>
      </c>
      <c r="P69" s="263">
        <v>0</v>
      </c>
      <c r="Q69" s="263">
        <v>0</v>
      </c>
      <c r="R69" s="263">
        <v>0</v>
      </c>
      <c r="S69" s="263">
        <v>0</v>
      </c>
      <c r="T69" s="263">
        <v>0</v>
      </c>
      <c r="U69" s="263">
        <v>0</v>
      </c>
      <c r="V69" s="70"/>
    </row>
    <row r="70" spans="1:22" customFormat="1" ht="14.25" customHeight="1" x14ac:dyDescent="0.25">
      <c r="A70" s="262" t="s">
        <v>499</v>
      </c>
      <c r="B70" s="263">
        <v>1</v>
      </c>
      <c r="C70" s="263">
        <v>8089622.9760000007</v>
      </c>
      <c r="D70" s="263">
        <f>B70*C70/1000</f>
        <v>8089.6229760000006</v>
      </c>
      <c r="E70" s="263">
        <f>D70</f>
        <v>8089.6229760000006</v>
      </c>
      <c r="F70" s="263">
        <v>0</v>
      </c>
      <c r="G70" s="263">
        <v>0</v>
      </c>
      <c r="H70" s="263">
        <f>D70*0.5</f>
        <v>4044.8114880000003</v>
      </c>
      <c r="I70" s="263">
        <f>H70</f>
        <v>4044.8114880000003</v>
      </c>
      <c r="J70" s="263">
        <v>0</v>
      </c>
      <c r="K70" s="263">
        <v>0</v>
      </c>
      <c r="L70" s="263">
        <v>0</v>
      </c>
      <c r="M70" s="263">
        <v>0</v>
      </c>
      <c r="N70" s="263">
        <v>0</v>
      </c>
      <c r="O70" s="263">
        <v>0</v>
      </c>
      <c r="P70" s="263">
        <v>0</v>
      </c>
      <c r="Q70" s="263">
        <v>0</v>
      </c>
      <c r="R70" s="263">
        <v>0</v>
      </c>
      <c r="S70" s="263">
        <v>0</v>
      </c>
      <c r="T70" s="263">
        <v>0</v>
      </c>
      <c r="U70" s="263">
        <v>0</v>
      </c>
      <c r="V70" s="70"/>
    </row>
    <row r="71" spans="1:22" customFormat="1" ht="14.25" customHeight="1" x14ac:dyDescent="0.25">
      <c r="A71" s="318" t="s">
        <v>49</v>
      </c>
      <c r="B71" s="319"/>
      <c r="C71" s="319">
        <f>SUM(C72:C75)</f>
        <v>1846601.352</v>
      </c>
      <c r="D71" s="319">
        <f>SUM(D72:D75)</f>
        <v>1846.6013519999999</v>
      </c>
      <c r="E71" s="319">
        <f t="shared" ref="E71:F71" si="115">SUM(E72:E75)</f>
        <v>1846.6013519999999</v>
      </c>
      <c r="F71" s="319">
        <f t="shared" si="115"/>
        <v>0</v>
      </c>
      <c r="G71" s="319">
        <f t="shared" ref="G71" si="116">SUM(G72:G75)</f>
        <v>0</v>
      </c>
      <c r="H71" s="319">
        <f t="shared" ref="H71" si="117">SUM(H72:H75)</f>
        <v>123.791</v>
      </c>
      <c r="I71" s="319">
        <f t="shared" ref="I71" si="118">SUM(I72:I75)</f>
        <v>123.791</v>
      </c>
      <c r="J71" s="319">
        <f t="shared" ref="J71" si="119">SUM(J72:J75)</f>
        <v>123.791</v>
      </c>
      <c r="K71" s="319">
        <f t="shared" ref="K71" si="120">SUM(K72:K75)</f>
        <v>128.74263999999999</v>
      </c>
      <c r="L71" s="319">
        <f t="shared" ref="L71" si="121">SUM(L72:L75)</f>
        <v>128.74263999999999</v>
      </c>
      <c r="M71" s="319">
        <f t="shared" ref="M71" si="122">SUM(M72:M75)</f>
        <v>128.74263999999999</v>
      </c>
      <c r="N71" s="319">
        <f t="shared" ref="N71" si="123">SUM(N72:N75)</f>
        <v>128.74263999999999</v>
      </c>
      <c r="O71" s="319">
        <f t="shared" ref="O71" si="124">SUM(O72:O75)</f>
        <v>128.74263999999999</v>
      </c>
      <c r="P71" s="319">
        <f t="shared" ref="P71" si="125">SUM(P72:P75)</f>
        <v>728.39415999999994</v>
      </c>
      <c r="Q71" s="319">
        <f t="shared" ref="Q71" si="126">SUM(Q72:Q75)</f>
        <v>103.12099200000003</v>
      </c>
      <c r="R71" s="319">
        <f t="shared" ref="R71" si="127">SUM(R72:R75)</f>
        <v>0</v>
      </c>
      <c r="S71" s="319">
        <f t="shared" ref="S71" si="128">SUM(S72:S75)</f>
        <v>0</v>
      </c>
      <c r="T71" s="319">
        <f t="shared" ref="T71" si="129">SUM(T72:T75)</f>
        <v>0</v>
      </c>
      <c r="U71" s="319">
        <f t="shared" ref="U71" si="130">SUM(U72:U75)</f>
        <v>0</v>
      </c>
      <c r="V71" s="70"/>
    </row>
    <row r="72" spans="1:22" customFormat="1" ht="14.25" customHeight="1" x14ac:dyDescent="0.25">
      <c r="A72" s="344" t="s">
        <v>607</v>
      </c>
      <c r="B72" s="122">
        <v>1</v>
      </c>
      <c r="C72" s="122">
        <f>Вложения!C29*1000</f>
        <v>1316044.7999999998</v>
      </c>
      <c r="D72" s="122">
        <f>B72*C72/1000</f>
        <v>1316.0447999999999</v>
      </c>
      <c r="E72" s="122">
        <f>D72</f>
        <v>1316.0447999999999</v>
      </c>
      <c r="F72" s="122">
        <v>0</v>
      </c>
      <c r="G72" s="122">
        <v>0</v>
      </c>
      <c r="H72" s="122">
        <f>Вложения!F29</f>
        <v>115.2</v>
      </c>
      <c r="I72" s="122">
        <f>Вложения!G29</f>
        <v>115.2</v>
      </c>
      <c r="J72" s="122">
        <f>Вложения!H29</f>
        <v>115.2</v>
      </c>
      <c r="K72" s="122">
        <f>Вложения!I29</f>
        <v>119.80800000000001</v>
      </c>
      <c r="L72" s="122">
        <f>Вложения!J29</f>
        <v>119.80800000000001</v>
      </c>
      <c r="M72" s="122">
        <f>Вложения!K29</f>
        <v>119.80800000000001</v>
      </c>
      <c r="N72" s="122">
        <f>Вложения!L29</f>
        <v>119.80800000000001</v>
      </c>
      <c r="O72" s="122">
        <f>Вложения!M29</f>
        <v>119.80800000000001</v>
      </c>
      <c r="P72" s="122">
        <f>Вложения!N29</f>
        <v>371.40479999999997</v>
      </c>
      <c r="Q72" s="122">
        <f>Вложения!O29</f>
        <v>0</v>
      </c>
      <c r="R72" s="122">
        <f>Вложения!P29</f>
        <v>0</v>
      </c>
      <c r="S72" s="122">
        <f>Вложения!Q29</f>
        <v>0</v>
      </c>
      <c r="T72" s="122">
        <f>Вложения!R29</f>
        <v>0</v>
      </c>
      <c r="U72" s="122">
        <f>Вложения!S29</f>
        <v>0</v>
      </c>
      <c r="V72" s="70"/>
    </row>
    <row r="73" spans="1:22" customFormat="1" ht="14.25" customHeight="1" x14ac:dyDescent="0.25">
      <c r="A73" s="344" t="s">
        <v>608</v>
      </c>
      <c r="B73" s="122">
        <v>1</v>
      </c>
      <c r="C73" s="122">
        <f>Вложения!C30*1000</f>
        <v>79380.840000000011</v>
      </c>
      <c r="D73" s="122">
        <f t="shared" ref="D73:D75" si="131">B73*C73/1000</f>
        <v>79.380840000000006</v>
      </c>
      <c r="E73" s="122">
        <f t="shared" ref="E73:E75" si="132">D73</f>
        <v>79.380840000000006</v>
      </c>
      <c r="F73" s="122">
        <v>0</v>
      </c>
      <c r="G73" s="122">
        <v>0</v>
      </c>
      <c r="H73" s="122">
        <f>Вложения!F30</f>
        <v>8.5909999999999993</v>
      </c>
      <c r="I73" s="122">
        <f>Вложения!G30</f>
        <v>8.5909999999999993</v>
      </c>
      <c r="J73" s="122">
        <f>Вложения!H30</f>
        <v>8.5909999999999993</v>
      </c>
      <c r="K73" s="122">
        <f>Вложения!I30</f>
        <v>8.9346399999999999</v>
      </c>
      <c r="L73" s="122">
        <f>Вложения!J30</f>
        <v>8.9346399999999999</v>
      </c>
      <c r="M73" s="122">
        <f>Вложения!K30</f>
        <v>8.9346399999999999</v>
      </c>
      <c r="N73" s="122">
        <f>Вложения!L30</f>
        <v>8.9346399999999999</v>
      </c>
      <c r="O73" s="122">
        <f>Вложения!M30</f>
        <v>8.9346399999999999</v>
      </c>
      <c r="P73" s="122">
        <f>Вложения!N30</f>
        <v>8.9346399999999999</v>
      </c>
      <c r="Q73" s="122">
        <f>Вложения!O30</f>
        <v>0</v>
      </c>
      <c r="R73" s="122">
        <f>Вложения!P30</f>
        <v>0</v>
      </c>
      <c r="S73" s="122">
        <f>Вложения!Q30</f>
        <v>0</v>
      </c>
      <c r="T73" s="122">
        <f>Вложения!R30</f>
        <v>0</v>
      </c>
      <c r="U73" s="122">
        <f>Вложения!S30</f>
        <v>0</v>
      </c>
      <c r="V73" s="70"/>
    </row>
    <row r="74" spans="1:22" customFormat="1" ht="14.25" customHeight="1" x14ac:dyDescent="0.25">
      <c r="A74" s="344" t="s">
        <v>609</v>
      </c>
      <c r="B74" s="122">
        <v>1</v>
      </c>
      <c r="C74" s="122">
        <f>Вложения!C31*1000</f>
        <v>204733.15200000003</v>
      </c>
      <c r="D74" s="122">
        <f t="shared" si="131"/>
        <v>204.73315200000002</v>
      </c>
      <c r="E74" s="122">
        <f t="shared" si="132"/>
        <v>204.73315200000002</v>
      </c>
      <c r="F74" s="122">
        <v>0</v>
      </c>
      <c r="G74" s="122">
        <v>0</v>
      </c>
      <c r="H74" s="122">
        <f>Вложения!F31</f>
        <v>0</v>
      </c>
      <c r="I74" s="122">
        <f>Вложения!G31</f>
        <v>0</v>
      </c>
      <c r="J74" s="122">
        <f>Вложения!H31</f>
        <v>0</v>
      </c>
      <c r="K74" s="122">
        <f>Вложения!I31</f>
        <v>0</v>
      </c>
      <c r="L74" s="122">
        <f>Вложения!J31</f>
        <v>0</v>
      </c>
      <c r="M74" s="122">
        <f>Вложения!K31</f>
        <v>0</v>
      </c>
      <c r="N74" s="122">
        <f>Вложения!L31</f>
        <v>0</v>
      </c>
      <c r="O74" s="122">
        <f>Вложения!M31</f>
        <v>0</v>
      </c>
      <c r="P74" s="122">
        <f>Вложения!N31</f>
        <v>101.61216</v>
      </c>
      <c r="Q74" s="122">
        <f>Вложения!O31</f>
        <v>103.12099200000003</v>
      </c>
      <c r="R74" s="122">
        <f>Вложения!P31</f>
        <v>0</v>
      </c>
      <c r="S74" s="122">
        <f>Вложения!Q31</f>
        <v>0</v>
      </c>
      <c r="T74" s="122">
        <f>Вложения!R31</f>
        <v>0</v>
      </c>
      <c r="U74" s="122">
        <f>Вложения!S31</f>
        <v>0</v>
      </c>
      <c r="V74" s="70"/>
    </row>
    <row r="75" spans="1:22" x14ac:dyDescent="0.25">
      <c r="A75" s="344" t="s">
        <v>610</v>
      </c>
      <c r="B75" s="122">
        <v>1</v>
      </c>
      <c r="C75" s="122">
        <f>Вложения!C32*1000</f>
        <v>246442.55999999997</v>
      </c>
      <c r="D75" s="122">
        <f t="shared" si="131"/>
        <v>246.44255999999996</v>
      </c>
      <c r="E75" s="122">
        <f t="shared" si="132"/>
        <v>246.44255999999996</v>
      </c>
      <c r="F75" s="122">
        <v>0</v>
      </c>
      <c r="G75" s="122">
        <v>0</v>
      </c>
      <c r="H75" s="122">
        <f>Вложения!F32</f>
        <v>0</v>
      </c>
      <c r="I75" s="122">
        <f>Вложения!G32</f>
        <v>0</v>
      </c>
      <c r="J75" s="122">
        <f>Вложения!H32</f>
        <v>0</v>
      </c>
      <c r="K75" s="122">
        <f>Вложения!I32</f>
        <v>0</v>
      </c>
      <c r="L75" s="122">
        <f>Вложения!J32</f>
        <v>0</v>
      </c>
      <c r="M75" s="122">
        <f>Вложения!K32</f>
        <v>0</v>
      </c>
      <c r="N75" s="122">
        <f>Вложения!L32</f>
        <v>0</v>
      </c>
      <c r="O75" s="122">
        <f>Вложения!M32</f>
        <v>0</v>
      </c>
      <c r="P75" s="122">
        <f>Вложения!N32</f>
        <v>246.44255999999996</v>
      </c>
      <c r="Q75" s="122">
        <f>Вложения!O32</f>
        <v>0</v>
      </c>
      <c r="R75" s="122">
        <f>Вложения!P32</f>
        <v>0</v>
      </c>
      <c r="S75" s="122">
        <f>Вложения!Q32</f>
        <v>0</v>
      </c>
      <c r="T75" s="122">
        <f>Вложения!R32</f>
        <v>0</v>
      </c>
      <c r="U75" s="122">
        <f>Вложения!S32</f>
        <v>0</v>
      </c>
      <c r="V75" s="70"/>
    </row>
    <row r="76" spans="1:22" s="4" customFormat="1" x14ac:dyDescent="0.25">
      <c r="A76" s="453" t="s">
        <v>524</v>
      </c>
      <c r="B76" s="454"/>
      <c r="C76" s="454"/>
      <c r="D76" s="454">
        <f>D71+D43+D42</f>
        <v>133259.34098079999</v>
      </c>
      <c r="E76" s="454">
        <f t="shared" ref="E76:U76" si="133">E71+E43+E42</f>
        <v>133259.34098079999</v>
      </c>
      <c r="F76" s="454">
        <f t="shared" si="133"/>
        <v>0</v>
      </c>
      <c r="G76" s="454">
        <f t="shared" si="133"/>
        <v>0</v>
      </c>
      <c r="H76" s="454">
        <f t="shared" si="133"/>
        <v>44168.602488000004</v>
      </c>
      <c r="I76" s="454">
        <f t="shared" si="133"/>
        <v>11381.8102944</v>
      </c>
      <c r="J76" s="454">
        <f t="shared" si="133"/>
        <v>14969.7037664</v>
      </c>
      <c r="K76" s="454">
        <f t="shared" si="133"/>
        <v>9744.8594799999992</v>
      </c>
      <c r="L76" s="454">
        <f t="shared" si="133"/>
        <v>18908.03572</v>
      </c>
      <c r="M76" s="454">
        <f t="shared" si="133"/>
        <v>12558.507000000001</v>
      </c>
      <c r="N76" s="454">
        <f t="shared" si="133"/>
        <v>9984.8594799999992</v>
      </c>
      <c r="O76" s="454">
        <f t="shared" si="133"/>
        <v>5895.09512</v>
      </c>
      <c r="P76" s="454">
        <f t="shared" si="133"/>
        <v>5544.7466399999994</v>
      </c>
      <c r="Q76" s="454">
        <f t="shared" si="133"/>
        <v>103.12099200000003</v>
      </c>
      <c r="R76" s="454">
        <f t="shared" si="133"/>
        <v>0</v>
      </c>
      <c r="S76" s="454">
        <f t="shared" si="133"/>
        <v>0</v>
      </c>
      <c r="T76" s="454">
        <f t="shared" si="133"/>
        <v>0</v>
      </c>
      <c r="U76" s="454">
        <f t="shared" si="133"/>
        <v>0</v>
      </c>
      <c r="V76" s="455"/>
    </row>
    <row r="77" spans="1:22" s="67" customFormat="1" x14ac:dyDescent="0.25">
      <c r="A77" s="451"/>
      <c r="B77" s="452"/>
      <c r="C77" s="452"/>
      <c r="D77" s="452"/>
      <c r="G77" s="62"/>
      <c r="V77" s="70"/>
    </row>
    <row r="78" spans="1:22" s="18" customFormat="1" x14ac:dyDescent="0.25">
      <c r="A78" s="49" t="s">
        <v>505</v>
      </c>
    </row>
    <row r="79" spans="1:22" s="18" customFormat="1" x14ac:dyDescent="0.25">
      <c r="A79" s="479" t="s">
        <v>392</v>
      </c>
      <c r="B79" s="329">
        <f>'Книга допущений'!B12</f>
        <v>2020</v>
      </c>
      <c r="C79" s="330">
        <f t="shared" ref="C79:N79" si="134">IF(MONTH(C80)=1,B79+1,B79)</f>
        <v>2020</v>
      </c>
      <c r="D79" s="330">
        <f t="shared" si="134"/>
        <v>2020</v>
      </c>
      <c r="E79" s="330">
        <f t="shared" si="134"/>
        <v>2021</v>
      </c>
      <c r="F79" s="330">
        <f t="shared" si="134"/>
        <v>2021</v>
      </c>
      <c r="G79" s="330">
        <f t="shared" si="134"/>
        <v>2021</v>
      </c>
      <c r="H79" s="330">
        <f t="shared" si="134"/>
        <v>2021</v>
      </c>
      <c r="I79" s="330">
        <f t="shared" si="134"/>
        <v>2021</v>
      </c>
      <c r="J79" s="330">
        <f t="shared" si="134"/>
        <v>2021</v>
      </c>
      <c r="K79" s="330">
        <f t="shared" si="134"/>
        <v>2021</v>
      </c>
      <c r="L79" s="330">
        <f t="shared" si="134"/>
        <v>2021</v>
      </c>
      <c r="M79" s="330">
        <f t="shared" si="134"/>
        <v>2021</v>
      </c>
      <c r="N79" s="330">
        <f t="shared" si="134"/>
        <v>2021</v>
      </c>
    </row>
    <row r="80" spans="1:22" s="18" customFormat="1" x14ac:dyDescent="0.25">
      <c r="A80" s="480"/>
      <c r="B80" s="322">
        <f>'Книга допущений'!B11</f>
        <v>44106</v>
      </c>
      <c r="C80" s="322">
        <f t="shared" ref="C80:N80" si="135">B80+31</f>
        <v>44137</v>
      </c>
      <c r="D80" s="322">
        <f t="shared" si="135"/>
        <v>44168</v>
      </c>
      <c r="E80" s="322">
        <f t="shared" si="135"/>
        <v>44199</v>
      </c>
      <c r="F80" s="322">
        <f t="shared" si="135"/>
        <v>44230</v>
      </c>
      <c r="G80" s="322">
        <f t="shared" si="135"/>
        <v>44261</v>
      </c>
      <c r="H80" s="322">
        <f t="shared" si="135"/>
        <v>44292</v>
      </c>
      <c r="I80" s="322">
        <f t="shared" si="135"/>
        <v>44323</v>
      </c>
      <c r="J80" s="322">
        <f t="shared" si="135"/>
        <v>44354</v>
      </c>
      <c r="K80" s="322">
        <f t="shared" si="135"/>
        <v>44385</v>
      </c>
      <c r="L80" s="322">
        <f t="shared" si="135"/>
        <v>44416</v>
      </c>
      <c r="M80" s="322">
        <f t="shared" si="135"/>
        <v>44447</v>
      </c>
      <c r="N80" s="322">
        <f t="shared" si="135"/>
        <v>44478</v>
      </c>
    </row>
    <row r="81" spans="1:14" s="18" customFormat="1" x14ac:dyDescent="0.25">
      <c r="A81" s="334" t="s">
        <v>507</v>
      </c>
      <c r="B81" s="333">
        <v>0</v>
      </c>
      <c r="C81" s="333">
        <v>3</v>
      </c>
      <c r="D81" s="333">
        <v>4</v>
      </c>
      <c r="E81" s="340">
        <v>0</v>
      </c>
      <c r="F81" s="340">
        <v>0</v>
      </c>
      <c r="G81" s="340">
        <v>0</v>
      </c>
      <c r="H81" s="340">
        <v>0</v>
      </c>
      <c r="I81" s="340">
        <v>0</v>
      </c>
      <c r="J81" s="340">
        <v>0</v>
      </c>
      <c r="K81" s="340">
        <v>0</v>
      </c>
      <c r="L81" s="340">
        <v>0</v>
      </c>
      <c r="M81" s="340">
        <v>0</v>
      </c>
      <c r="N81" s="340">
        <v>0</v>
      </c>
    </row>
    <row r="82" spans="1:14" s="18" customFormat="1" x14ac:dyDescent="0.25">
      <c r="A82" s="337" t="s">
        <v>484</v>
      </c>
      <c r="B82" s="333">
        <v>0</v>
      </c>
      <c r="C82" s="333">
        <v>1</v>
      </c>
      <c r="D82" s="340">
        <v>0</v>
      </c>
      <c r="E82" s="340">
        <v>0</v>
      </c>
      <c r="F82" s="340">
        <v>0</v>
      </c>
      <c r="G82" s="340">
        <v>0</v>
      </c>
      <c r="H82" s="340">
        <v>0</v>
      </c>
      <c r="I82" s="340">
        <v>0</v>
      </c>
      <c r="J82" s="340">
        <v>0</v>
      </c>
      <c r="K82" s="340">
        <v>0</v>
      </c>
      <c r="L82" s="340">
        <v>0</v>
      </c>
      <c r="M82" s="340">
        <v>0</v>
      </c>
      <c r="N82" s="340">
        <v>0</v>
      </c>
    </row>
    <row r="83" spans="1:14" s="18" customFormat="1" x14ac:dyDescent="0.25">
      <c r="A83" s="337" t="s">
        <v>495</v>
      </c>
      <c r="B83" s="333">
        <v>0</v>
      </c>
      <c r="C83" s="333">
        <v>0</v>
      </c>
      <c r="D83" s="333">
        <v>1</v>
      </c>
      <c r="E83" s="340">
        <v>0</v>
      </c>
      <c r="F83" s="340">
        <v>0</v>
      </c>
      <c r="G83" s="340">
        <v>0</v>
      </c>
      <c r="H83" s="340">
        <v>0</v>
      </c>
      <c r="I83" s="340">
        <v>0</v>
      </c>
      <c r="J83" s="340">
        <v>0</v>
      </c>
      <c r="K83" s="340">
        <v>0</v>
      </c>
      <c r="L83" s="340">
        <v>0</v>
      </c>
      <c r="M83" s="340">
        <v>0</v>
      </c>
      <c r="N83" s="340">
        <v>0</v>
      </c>
    </row>
    <row r="84" spans="1:14" s="18" customFormat="1" x14ac:dyDescent="0.25">
      <c r="A84" s="337" t="s">
        <v>487</v>
      </c>
      <c r="B84" s="333">
        <v>0</v>
      </c>
      <c r="C84" s="333">
        <v>0</v>
      </c>
      <c r="D84" s="333">
        <v>1</v>
      </c>
      <c r="E84" s="340">
        <v>0</v>
      </c>
      <c r="F84" s="340">
        <v>0</v>
      </c>
      <c r="G84" s="340">
        <v>0</v>
      </c>
      <c r="H84" s="340">
        <v>0</v>
      </c>
      <c r="I84" s="340">
        <v>0</v>
      </c>
      <c r="J84" s="340">
        <v>0</v>
      </c>
      <c r="K84" s="340">
        <v>0</v>
      </c>
      <c r="L84" s="340">
        <v>0</v>
      </c>
      <c r="M84" s="340">
        <v>0</v>
      </c>
      <c r="N84" s="340">
        <v>0</v>
      </c>
    </row>
    <row r="85" spans="1:14" s="18" customFormat="1" x14ac:dyDescent="0.25">
      <c r="A85" s="334" t="s">
        <v>508</v>
      </c>
      <c r="B85" s="333">
        <v>0</v>
      </c>
      <c r="C85" s="333">
        <v>0</v>
      </c>
      <c r="D85" s="333">
        <v>7</v>
      </c>
      <c r="E85" s="333">
        <v>7</v>
      </c>
      <c r="F85" s="333">
        <v>7</v>
      </c>
      <c r="G85" s="333">
        <v>0</v>
      </c>
      <c r="H85" s="340">
        <v>0</v>
      </c>
      <c r="I85" s="340">
        <v>0</v>
      </c>
      <c r="J85" s="340">
        <v>0</v>
      </c>
      <c r="K85" s="340">
        <v>0</v>
      </c>
      <c r="L85" s="340">
        <v>0</v>
      </c>
      <c r="M85" s="340">
        <v>0</v>
      </c>
      <c r="N85" s="340">
        <v>0</v>
      </c>
    </row>
    <row r="86" spans="1:14" s="18" customFormat="1" x14ac:dyDescent="0.25">
      <c r="A86" s="338" t="s">
        <v>509</v>
      </c>
      <c r="B86" s="333">
        <v>0</v>
      </c>
      <c r="C86" s="333">
        <v>0</v>
      </c>
      <c r="D86" s="333">
        <v>0</v>
      </c>
      <c r="E86" s="333">
        <v>1</v>
      </c>
      <c r="F86" s="333">
        <v>0</v>
      </c>
      <c r="G86" s="340">
        <v>0</v>
      </c>
      <c r="H86" s="340">
        <v>0</v>
      </c>
      <c r="I86" s="340">
        <v>0</v>
      </c>
      <c r="J86" s="340">
        <v>0</v>
      </c>
      <c r="K86" s="340">
        <v>0</v>
      </c>
      <c r="L86" s="340">
        <v>0</v>
      </c>
      <c r="M86" s="340">
        <v>0</v>
      </c>
      <c r="N86" s="340">
        <v>0</v>
      </c>
    </row>
    <row r="87" spans="1:14" s="18" customFormat="1" x14ac:dyDescent="0.25">
      <c r="A87" s="339" t="s">
        <v>510</v>
      </c>
      <c r="B87" s="333">
        <v>0</v>
      </c>
      <c r="C87" s="333">
        <v>0</v>
      </c>
      <c r="D87" s="333">
        <v>0</v>
      </c>
      <c r="E87" s="333">
        <v>0</v>
      </c>
      <c r="F87" s="340">
        <v>0.5</v>
      </c>
      <c r="G87" s="340">
        <v>0.5</v>
      </c>
      <c r="H87" s="340">
        <v>0</v>
      </c>
      <c r="I87" s="340">
        <v>0</v>
      </c>
      <c r="J87" s="340">
        <v>0</v>
      </c>
      <c r="K87" s="340">
        <v>0</v>
      </c>
      <c r="L87" s="340">
        <v>0</v>
      </c>
      <c r="M87" s="340">
        <v>0</v>
      </c>
      <c r="N87" s="340">
        <v>0</v>
      </c>
    </row>
    <row r="88" spans="1:14" s="18" customFormat="1" x14ac:dyDescent="0.25">
      <c r="A88" s="336" t="s">
        <v>511</v>
      </c>
      <c r="B88" s="333">
        <v>0</v>
      </c>
      <c r="C88" s="333">
        <v>0</v>
      </c>
      <c r="D88" s="333">
        <v>0</v>
      </c>
      <c r="E88" s="333">
        <v>0</v>
      </c>
      <c r="F88" s="333">
        <v>2</v>
      </c>
      <c r="G88" s="333">
        <v>3</v>
      </c>
      <c r="H88" s="340">
        <v>3</v>
      </c>
      <c r="I88" s="340">
        <v>0</v>
      </c>
      <c r="J88" s="340">
        <v>0</v>
      </c>
      <c r="K88" s="340">
        <v>0</v>
      </c>
      <c r="L88" s="340">
        <v>0</v>
      </c>
      <c r="M88" s="340">
        <v>0</v>
      </c>
      <c r="N88" s="340">
        <v>0</v>
      </c>
    </row>
    <row r="89" spans="1:14" s="18" customFormat="1" x14ac:dyDescent="0.25">
      <c r="A89" s="339" t="s">
        <v>512</v>
      </c>
      <c r="B89" s="333">
        <v>0</v>
      </c>
      <c r="C89" s="333">
        <v>0</v>
      </c>
      <c r="D89" s="333">
        <v>0</v>
      </c>
      <c r="E89" s="333">
        <v>0</v>
      </c>
      <c r="F89" s="333">
        <v>0</v>
      </c>
      <c r="G89" s="333">
        <v>1</v>
      </c>
      <c r="H89" s="340">
        <v>1</v>
      </c>
      <c r="I89" s="340">
        <v>2</v>
      </c>
      <c r="J89" s="340">
        <v>0</v>
      </c>
      <c r="K89" s="340">
        <v>0</v>
      </c>
      <c r="L89" s="340">
        <v>0</v>
      </c>
      <c r="M89" s="340">
        <v>0</v>
      </c>
      <c r="N89" s="340">
        <v>0</v>
      </c>
    </row>
    <row r="90" spans="1:14" s="18" customFormat="1" x14ac:dyDescent="0.25">
      <c r="A90" s="339" t="s">
        <v>490</v>
      </c>
      <c r="B90" s="333">
        <v>0</v>
      </c>
      <c r="C90" s="333">
        <v>0</v>
      </c>
      <c r="D90" s="333">
        <v>0</v>
      </c>
      <c r="E90" s="333">
        <v>0</v>
      </c>
      <c r="F90" s="333">
        <v>0</v>
      </c>
      <c r="G90" s="333">
        <v>0</v>
      </c>
      <c r="H90" s="333">
        <v>0</v>
      </c>
      <c r="I90" s="340">
        <v>1</v>
      </c>
      <c r="J90" s="340">
        <v>0</v>
      </c>
      <c r="K90" s="340">
        <v>0</v>
      </c>
      <c r="L90" s="340">
        <v>0</v>
      </c>
      <c r="M90" s="340">
        <v>0</v>
      </c>
      <c r="N90" s="340">
        <v>0</v>
      </c>
    </row>
    <row r="91" spans="1:14" s="18" customFormat="1" x14ac:dyDescent="0.25">
      <c r="A91" s="339" t="s">
        <v>491</v>
      </c>
      <c r="B91" s="333">
        <v>0</v>
      </c>
      <c r="C91" s="333">
        <v>0</v>
      </c>
      <c r="D91" s="333">
        <v>0</v>
      </c>
      <c r="E91" s="333">
        <v>0</v>
      </c>
      <c r="F91" s="333">
        <v>0</v>
      </c>
      <c r="G91" s="333">
        <v>0</v>
      </c>
      <c r="H91" s="333">
        <v>0</v>
      </c>
      <c r="I91" s="333">
        <v>0</v>
      </c>
      <c r="J91" s="340">
        <v>1</v>
      </c>
      <c r="K91" s="340">
        <v>0</v>
      </c>
      <c r="L91" s="340">
        <v>0</v>
      </c>
      <c r="M91" s="340">
        <v>0</v>
      </c>
      <c r="N91" s="340">
        <v>0</v>
      </c>
    </row>
    <row r="92" spans="1:14" s="18" customFormat="1" x14ac:dyDescent="0.25">
      <c r="A92" s="336" t="s">
        <v>513</v>
      </c>
      <c r="B92" s="333">
        <v>0</v>
      </c>
      <c r="C92" s="333">
        <v>0</v>
      </c>
      <c r="D92" s="333">
        <v>0</v>
      </c>
      <c r="E92" s="333">
        <v>0</v>
      </c>
      <c r="F92" s="333">
        <v>0</v>
      </c>
      <c r="G92" s="333">
        <v>0</v>
      </c>
      <c r="H92" s="333">
        <v>4</v>
      </c>
      <c r="I92" s="333">
        <v>4</v>
      </c>
      <c r="J92" s="333">
        <v>4</v>
      </c>
      <c r="K92" s="340">
        <v>0</v>
      </c>
      <c r="L92" s="340">
        <v>0</v>
      </c>
      <c r="M92" s="340">
        <v>0</v>
      </c>
      <c r="N92" s="340">
        <v>0</v>
      </c>
    </row>
    <row r="93" spans="1:14" s="18" customFormat="1" x14ac:dyDescent="0.25">
      <c r="A93" s="339" t="s">
        <v>492</v>
      </c>
      <c r="B93" s="333">
        <v>0</v>
      </c>
      <c r="C93" s="333">
        <v>0</v>
      </c>
      <c r="D93" s="333">
        <v>0</v>
      </c>
      <c r="E93" s="333">
        <v>0</v>
      </c>
      <c r="F93" s="333">
        <v>0</v>
      </c>
      <c r="G93" s="333">
        <v>0</v>
      </c>
      <c r="H93" s="333">
        <v>0</v>
      </c>
      <c r="I93" s="333">
        <v>4</v>
      </c>
      <c r="J93" s="333">
        <v>0</v>
      </c>
      <c r="K93" s="340">
        <v>0</v>
      </c>
      <c r="L93" s="340">
        <v>0</v>
      </c>
      <c r="M93" s="340">
        <v>0</v>
      </c>
      <c r="N93" s="340">
        <v>0</v>
      </c>
    </row>
    <row r="94" spans="1:14" s="18" customFormat="1" x14ac:dyDescent="0.25">
      <c r="A94" s="339" t="s">
        <v>493</v>
      </c>
      <c r="B94" s="333">
        <v>0</v>
      </c>
      <c r="C94" s="333">
        <v>0</v>
      </c>
      <c r="D94" s="333">
        <v>0</v>
      </c>
      <c r="E94" s="333">
        <v>0</v>
      </c>
      <c r="F94" s="333">
        <v>0</v>
      </c>
      <c r="G94" s="333">
        <v>0</v>
      </c>
      <c r="H94" s="333">
        <v>0</v>
      </c>
      <c r="I94" s="333">
        <v>0</v>
      </c>
      <c r="J94" s="333">
        <v>1</v>
      </c>
      <c r="K94" s="333">
        <v>0</v>
      </c>
      <c r="L94" s="340">
        <v>0</v>
      </c>
      <c r="M94" s="340">
        <v>0</v>
      </c>
      <c r="N94" s="340">
        <v>0</v>
      </c>
    </row>
    <row r="95" spans="1:14" s="18" customFormat="1" x14ac:dyDescent="0.25">
      <c r="A95" s="342" t="s">
        <v>514</v>
      </c>
      <c r="B95" s="341">
        <f t="shared" ref="B95:N95" si="136">B81+B85+B88+B92</f>
        <v>0</v>
      </c>
      <c r="C95" s="341">
        <f t="shared" si="136"/>
        <v>3</v>
      </c>
      <c r="D95" s="341">
        <f t="shared" si="136"/>
        <v>11</v>
      </c>
      <c r="E95" s="341">
        <f t="shared" si="136"/>
        <v>7</v>
      </c>
      <c r="F95" s="341">
        <f t="shared" si="136"/>
        <v>9</v>
      </c>
      <c r="G95" s="341">
        <f t="shared" si="136"/>
        <v>3</v>
      </c>
      <c r="H95" s="341">
        <f t="shared" si="136"/>
        <v>7</v>
      </c>
      <c r="I95" s="341">
        <f t="shared" si="136"/>
        <v>4</v>
      </c>
      <c r="J95" s="341">
        <f t="shared" si="136"/>
        <v>4</v>
      </c>
      <c r="K95" s="341">
        <f t="shared" si="136"/>
        <v>0</v>
      </c>
      <c r="L95" s="341">
        <f t="shared" si="136"/>
        <v>0</v>
      </c>
      <c r="M95" s="341">
        <f t="shared" si="136"/>
        <v>0</v>
      </c>
      <c r="N95" s="341">
        <f t="shared" si="136"/>
        <v>0</v>
      </c>
    </row>
    <row r="96" spans="1:14" s="18" customFormat="1" x14ac:dyDescent="0.25">
      <c r="A96" s="342" t="s">
        <v>506</v>
      </c>
      <c r="B96" s="341">
        <f>B95</f>
        <v>0</v>
      </c>
      <c r="C96" s="341">
        <f t="shared" ref="C96:N96" si="137">B96+C95</f>
        <v>3</v>
      </c>
      <c r="D96" s="341">
        <f t="shared" si="137"/>
        <v>14</v>
      </c>
      <c r="E96" s="341">
        <f t="shared" si="137"/>
        <v>21</v>
      </c>
      <c r="F96" s="341">
        <f t="shared" si="137"/>
        <v>30</v>
      </c>
      <c r="G96" s="341">
        <f t="shared" si="137"/>
        <v>33</v>
      </c>
      <c r="H96" s="341">
        <f t="shared" si="137"/>
        <v>40</v>
      </c>
      <c r="I96" s="341">
        <f t="shared" si="137"/>
        <v>44</v>
      </c>
      <c r="J96" s="341">
        <f t="shared" si="137"/>
        <v>48</v>
      </c>
      <c r="K96" s="341">
        <f t="shared" si="137"/>
        <v>48</v>
      </c>
      <c r="L96" s="341">
        <f t="shared" si="137"/>
        <v>48</v>
      </c>
      <c r="M96" s="341">
        <f t="shared" si="137"/>
        <v>48</v>
      </c>
      <c r="N96" s="341">
        <f t="shared" si="137"/>
        <v>48</v>
      </c>
    </row>
    <row r="97" spans="1:8" s="18" customFormat="1" x14ac:dyDescent="0.25">
      <c r="A97" s="44"/>
    </row>
    <row r="98" spans="1:8" s="67" customFormat="1" x14ac:dyDescent="0.25">
      <c r="A98" s="4" t="s">
        <v>652</v>
      </c>
      <c r="B98" s="54"/>
    </row>
    <row r="99" spans="1:8" s="67" customFormat="1" x14ac:dyDescent="0.25">
      <c r="A99" s="256" t="s">
        <v>653</v>
      </c>
      <c r="B99" s="441" t="s">
        <v>25</v>
      </c>
      <c r="C99" s="256" t="s">
        <v>52</v>
      </c>
    </row>
    <row r="100" spans="1:8" s="67" customFormat="1" x14ac:dyDescent="0.25">
      <c r="A100" s="135" t="s">
        <v>654</v>
      </c>
      <c r="B100" s="445">
        <v>1</v>
      </c>
      <c r="C100" s="446" t="s">
        <v>54</v>
      </c>
    </row>
    <row r="101" spans="1:8" s="67" customFormat="1" x14ac:dyDescent="0.25">
      <c r="A101" s="135" t="s">
        <v>655</v>
      </c>
      <c r="B101" s="445">
        <v>1</v>
      </c>
      <c r="C101" s="446" t="s">
        <v>54</v>
      </c>
    </row>
    <row r="102" spans="1:8" s="67" customFormat="1" x14ac:dyDescent="0.25">
      <c r="A102" s="135" t="s">
        <v>656</v>
      </c>
      <c r="B102" s="320">
        <f>D42</f>
        <v>40000</v>
      </c>
      <c r="C102" s="446" t="s">
        <v>61</v>
      </c>
    </row>
    <row r="103" spans="1:8" s="67" customFormat="1" x14ac:dyDescent="0.25">
      <c r="A103" s="135" t="s">
        <v>671</v>
      </c>
      <c r="B103" s="320">
        <f>E76</f>
        <v>133259.34098079999</v>
      </c>
      <c r="C103" s="446" t="s">
        <v>61</v>
      </c>
    </row>
    <row r="104" spans="1:8" s="67" customFormat="1" x14ac:dyDescent="0.25">
      <c r="A104" s="135" t="s">
        <v>657</v>
      </c>
      <c r="B104" s="320">
        <f>F76</f>
        <v>0</v>
      </c>
      <c r="C104" s="446" t="s">
        <v>61</v>
      </c>
    </row>
    <row r="105" spans="1:8" s="67" customFormat="1" x14ac:dyDescent="0.25">
      <c r="A105" s="135" t="s">
        <v>658</v>
      </c>
      <c r="B105" s="192">
        <v>0</v>
      </c>
      <c r="C105" s="446" t="s">
        <v>54</v>
      </c>
    </row>
    <row r="106" spans="1:8" s="67" customFormat="1" x14ac:dyDescent="0.25">
      <c r="A106" s="135" t="s">
        <v>659</v>
      </c>
      <c r="B106" s="246">
        <v>0</v>
      </c>
      <c r="C106" s="446" t="s">
        <v>345</v>
      </c>
    </row>
    <row r="107" spans="1:8" s="67" customFormat="1" x14ac:dyDescent="0.25">
      <c r="A107" s="135" t="s">
        <v>660</v>
      </c>
      <c r="B107" s="249">
        <v>0</v>
      </c>
      <c r="C107" s="446" t="s">
        <v>345</v>
      </c>
    </row>
    <row r="108" spans="1:8" s="67" customFormat="1" x14ac:dyDescent="0.25">
      <c r="A108" s="135" t="s">
        <v>661</v>
      </c>
      <c r="B108" s="249">
        <v>0</v>
      </c>
      <c r="C108" s="446" t="s">
        <v>345</v>
      </c>
    </row>
    <row r="109" spans="1:8" s="67" customFormat="1" x14ac:dyDescent="0.25">
      <c r="A109" s="5"/>
      <c r="B109" s="444"/>
      <c r="C109" s="5"/>
    </row>
    <row r="110" spans="1:8" s="67" customFormat="1" x14ac:dyDescent="0.25">
      <c r="A110" s="4" t="s">
        <v>665</v>
      </c>
      <c r="B110" s="41"/>
      <c r="C110" s="244"/>
      <c r="D110" s="245"/>
      <c r="E110" s="245"/>
      <c r="F110" s="245"/>
      <c r="G110" s="62"/>
    </row>
    <row r="111" spans="1:8" s="67" customFormat="1" x14ac:dyDescent="0.25">
      <c r="A111" s="260" t="s">
        <v>24</v>
      </c>
      <c r="B111" s="395">
        <f>B12</f>
        <v>2020</v>
      </c>
      <c r="C111" s="395">
        <f>B111+1</f>
        <v>2021</v>
      </c>
      <c r="D111" s="395">
        <f t="shared" ref="D111:G111" si="138">C111+1</f>
        <v>2022</v>
      </c>
      <c r="E111" s="395">
        <f t="shared" si="138"/>
        <v>2023</v>
      </c>
      <c r="F111" s="395">
        <f t="shared" si="138"/>
        <v>2024</v>
      </c>
      <c r="G111" s="395">
        <f t="shared" si="138"/>
        <v>2025</v>
      </c>
      <c r="H111" s="395">
        <f>G111+1</f>
        <v>2026</v>
      </c>
    </row>
    <row r="112" spans="1:8" s="67" customFormat="1" x14ac:dyDescent="0.25">
      <c r="A112" s="231" t="s">
        <v>643</v>
      </c>
      <c r="B112" s="109">
        <v>0</v>
      </c>
      <c r="C112" s="109">
        <f>1-C113</f>
        <v>0</v>
      </c>
      <c r="D112" s="109">
        <f t="shared" ref="D112:H112" si="139">1-D113</f>
        <v>0</v>
      </c>
      <c r="E112" s="109">
        <f t="shared" si="139"/>
        <v>0</v>
      </c>
      <c r="F112" s="109">
        <f t="shared" si="139"/>
        <v>0</v>
      </c>
      <c r="G112" s="109">
        <f t="shared" si="139"/>
        <v>0</v>
      </c>
      <c r="H112" s="109">
        <f t="shared" si="139"/>
        <v>0</v>
      </c>
    </row>
    <row r="113" spans="1:15" s="67" customFormat="1" x14ac:dyDescent="0.25">
      <c r="A113" s="231" t="s">
        <v>644</v>
      </c>
      <c r="B113" s="109">
        <v>0</v>
      </c>
      <c r="C113" s="109">
        <f>$B101</f>
        <v>1</v>
      </c>
      <c r="D113" s="109">
        <f t="shared" ref="D113:E113" si="140">$B101</f>
        <v>1</v>
      </c>
      <c r="E113" s="109">
        <f t="shared" si="140"/>
        <v>1</v>
      </c>
      <c r="F113" s="109">
        <f>$B100</f>
        <v>1</v>
      </c>
      <c r="G113" s="109">
        <f t="shared" ref="G113:H113" si="141">$B100</f>
        <v>1</v>
      </c>
      <c r="H113" s="109">
        <f t="shared" si="141"/>
        <v>1</v>
      </c>
    </row>
    <row r="114" spans="1:15" s="67" customFormat="1" x14ac:dyDescent="0.25">
      <c r="A114" s="272"/>
      <c r="B114" s="62"/>
      <c r="C114" s="62"/>
      <c r="D114" s="62"/>
      <c r="E114" s="62"/>
      <c r="F114" s="62"/>
      <c r="G114" s="62"/>
      <c r="H114" s="62"/>
    </row>
    <row r="115" spans="1:15" s="67" customFormat="1" x14ac:dyDescent="0.25">
      <c r="A115" s="7" t="s">
        <v>662</v>
      </c>
      <c r="B115" s="444"/>
      <c r="C115" s="5"/>
    </row>
    <row r="116" spans="1:15" s="67" customFormat="1" x14ac:dyDescent="0.25">
      <c r="A116" s="256" t="s">
        <v>653</v>
      </c>
      <c r="B116" s="441" t="s">
        <v>25</v>
      </c>
      <c r="C116" s="256" t="s">
        <v>52</v>
      </c>
    </row>
    <row r="117" spans="1:15" s="67" customFormat="1" x14ac:dyDescent="0.25">
      <c r="A117" s="135" t="s">
        <v>663</v>
      </c>
      <c r="B117" s="291">
        <v>0</v>
      </c>
      <c r="C117" s="446" t="s">
        <v>61</v>
      </c>
    </row>
    <row r="118" spans="1:15" s="67" customFormat="1" x14ac:dyDescent="0.25">
      <c r="A118" s="135" t="s">
        <v>664</v>
      </c>
      <c r="B118" s="291">
        <v>0</v>
      </c>
      <c r="C118" s="446" t="s">
        <v>666</v>
      </c>
    </row>
    <row r="119" spans="1:15" s="67" customFormat="1" x14ac:dyDescent="0.25">
      <c r="A119" s="5"/>
      <c r="B119" s="444"/>
      <c r="C119" s="5"/>
    </row>
    <row r="120" spans="1:15" x14ac:dyDescent="0.25">
      <c r="A120" s="4" t="s">
        <v>612</v>
      </c>
    </row>
    <row r="121" spans="1:15" s="67" customFormat="1" x14ac:dyDescent="0.25">
      <c r="A121" s="256" t="s">
        <v>24</v>
      </c>
      <c r="B121" s="360" t="s">
        <v>25</v>
      </c>
      <c r="C121" s="360" t="s">
        <v>52</v>
      </c>
    </row>
    <row r="122" spans="1:15" s="67" customFormat="1" x14ac:dyDescent="0.25">
      <c r="A122" s="152" t="s">
        <v>544</v>
      </c>
      <c r="B122" s="249">
        <v>2</v>
      </c>
      <c r="C122" s="96" t="s">
        <v>611</v>
      </c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</row>
    <row r="123" spans="1:15" s="67" customFormat="1" x14ac:dyDescent="0.25">
      <c r="A123" s="382" t="s">
        <v>543</v>
      </c>
      <c r="B123" s="285"/>
      <c r="C123" s="431"/>
      <c r="D123" s="427"/>
      <c r="E123" s="427"/>
      <c r="F123" s="427"/>
      <c r="G123" s="427"/>
      <c r="H123" s="427"/>
      <c r="I123" s="427"/>
      <c r="J123" s="427"/>
      <c r="K123" s="427"/>
      <c r="L123" s="427"/>
      <c r="M123" s="427"/>
      <c r="N123" s="427"/>
      <c r="O123" s="427"/>
    </row>
    <row r="124" spans="1:15" s="67" customFormat="1" x14ac:dyDescent="0.25">
      <c r="A124" s="365" t="str">
        <f>A136</f>
        <v>Питание</v>
      </c>
      <c r="B124" s="267">
        <v>0.7</v>
      </c>
      <c r="C124" s="96" t="s">
        <v>54</v>
      </c>
      <c r="D124" s="427"/>
      <c r="E124" s="427"/>
      <c r="F124" s="427"/>
      <c r="G124" s="427"/>
      <c r="H124" s="427"/>
      <c r="I124" s="427"/>
      <c r="J124" s="427"/>
      <c r="K124" s="427"/>
      <c r="L124" s="427"/>
      <c r="M124" s="427"/>
      <c r="N124" s="427"/>
      <c r="O124" s="427"/>
    </row>
    <row r="125" spans="1:15" s="67" customFormat="1" x14ac:dyDescent="0.25">
      <c r="A125" s="365" t="str">
        <f>A137</f>
        <v>Банный комплекс</v>
      </c>
      <c r="B125" s="267">
        <v>0.5</v>
      </c>
      <c r="C125" s="96" t="s">
        <v>54</v>
      </c>
      <c r="D125" s="427"/>
      <c r="E125" s="427"/>
      <c r="F125" s="427"/>
      <c r="G125" s="427"/>
      <c r="H125" s="427"/>
      <c r="I125" s="427"/>
      <c r="J125" s="427"/>
      <c r="K125" s="427"/>
      <c r="L125" s="427"/>
      <c r="M125" s="427"/>
      <c r="N125" s="427"/>
      <c r="O125" s="427"/>
    </row>
    <row r="126" spans="1:15" s="67" customFormat="1" x14ac:dyDescent="0.25">
      <c r="A126" s="365" t="str">
        <f>A138</f>
        <v>Прокат спортивного инвентаря</v>
      </c>
      <c r="B126" s="267">
        <v>0.1</v>
      </c>
      <c r="C126" s="96" t="s">
        <v>54</v>
      </c>
      <c r="D126" s="427"/>
      <c r="E126" s="427"/>
      <c r="F126" s="427"/>
      <c r="G126" s="427"/>
      <c r="H126" s="427"/>
      <c r="I126" s="427"/>
      <c r="J126" s="427"/>
      <c r="K126" s="427"/>
      <c r="L126" s="427"/>
      <c r="M126" s="427"/>
      <c r="N126" s="427"/>
      <c r="O126" s="427"/>
    </row>
    <row r="127" spans="1:15" s="67" customFormat="1" x14ac:dyDescent="0.25">
      <c r="A127" s="429"/>
      <c r="B127" s="430"/>
      <c r="C127" s="61"/>
      <c r="D127" s="427"/>
      <c r="E127" s="427"/>
      <c r="F127" s="427"/>
      <c r="G127" s="427"/>
      <c r="H127" s="427"/>
      <c r="I127" s="427"/>
      <c r="J127" s="427"/>
      <c r="K127" s="427"/>
      <c r="L127" s="427"/>
      <c r="M127" s="427"/>
      <c r="N127" s="427"/>
      <c r="O127" s="427"/>
    </row>
    <row r="128" spans="1:15" s="67" customFormat="1" x14ac:dyDescent="0.25">
      <c r="A128" s="4" t="s">
        <v>346</v>
      </c>
      <c r="B128" s="430"/>
      <c r="C128" s="61"/>
      <c r="D128" s="428"/>
      <c r="E128" s="428"/>
      <c r="F128" s="428"/>
      <c r="G128" s="428"/>
      <c r="H128" s="428"/>
      <c r="I128" s="428"/>
      <c r="J128" s="428"/>
      <c r="K128" s="428"/>
      <c r="L128" s="428"/>
      <c r="M128" s="428"/>
      <c r="N128" s="428"/>
      <c r="O128" s="428"/>
    </row>
    <row r="129" spans="1:15" x14ac:dyDescent="0.25">
      <c r="A129" s="469" t="s">
        <v>24</v>
      </c>
      <c r="B129" s="469" t="s">
        <v>102</v>
      </c>
      <c r="C129" s="469" t="s">
        <v>52</v>
      </c>
      <c r="D129" s="472" t="s">
        <v>359</v>
      </c>
      <c r="E129" s="473"/>
      <c r="F129" s="473"/>
      <c r="G129" s="473"/>
      <c r="H129" s="473"/>
      <c r="I129" s="473"/>
      <c r="J129" s="473"/>
      <c r="K129" s="473"/>
      <c r="L129" s="473"/>
      <c r="M129" s="473"/>
      <c r="N129" s="473"/>
      <c r="O129" s="473"/>
    </row>
    <row r="130" spans="1:15" s="67" customFormat="1" x14ac:dyDescent="0.25">
      <c r="A130" s="469"/>
      <c r="B130" s="469"/>
      <c r="C130" s="469"/>
      <c r="D130" s="357">
        <v>31</v>
      </c>
      <c r="E130" s="358">
        <v>28</v>
      </c>
      <c r="F130" s="358">
        <v>31</v>
      </c>
      <c r="G130" s="358">
        <v>30</v>
      </c>
      <c r="H130" s="358">
        <v>31</v>
      </c>
      <c r="I130" s="358">
        <v>30</v>
      </c>
      <c r="J130" s="358">
        <v>31</v>
      </c>
      <c r="K130" s="358">
        <v>31</v>
      </c>
      <c r="L130" s="358">
        <v>30</v>
      </c>
      <c r="M130" s="358">
        <v>31</v>
      </c>
      <c r="N130" s="358">
        <v>30</v>
      </c>
      <c r="O130" s="358">
        <v>31</v>
      </c>
    </row>
    <row r="131" spans="1:15" x14ac:dyDescent="0.25">
      <c r="A131" s="470"/>
      <c r="B131" s="470"/>
      <c r="C131" s="470"/>
      <c r="D131" s="84" t="s">
        <v>528</v>
      </c>
      <c r="E131" s="256" t="s">
        <v>529</v>
      </c>
      <c r="F131" s="256" t="s">
        <v>530</v>
      </c>
      <c r="G131" s="256" t="s">
        <v>531</v>
      </c>
      <c r="H131" s="256" t="s">
        <v>532</v>
      </c>
      <c r="I131" s="256" t="s">
        <v>533</v>
      </c>
      <c r="J131" s="256" t="s">
        <v>534</v>
      </c>
      <c r="K131" s="256" t="s">
        <v>535</v>
      </c>
      <c r="L131" s="256" t="s">
        <v>536</v>
      </c>
      <c r="M131" s="256" t="s">
        <v>537</v>
      </c>
      <c r="N131" s="256" t="s">
        <v>538</v>
      </c>
      <c r="O131" s="256" t="s">
        <v>539</v>
      </c>
    </row>
    <row r="132" spans="1:15" x14ac:dyDescent="0.25">
      <c r="A132" s="110" t="s">
        <v>340</v>
      </c>
      <c r="B132" s="285">
        <f>AVERAGE(D132:O132)</f>
        <v>0.99999999999999967</v>
      </c>
      <c r="C132" s="112" t="s">
        <v>54</v>
      </c>
      <c r="D132" s="119">
        <v>0.8</v>
      </c>
      <c r="E132" s="119">
        <v>0.7</v>
      </c>
      <c r="F132" s="119">
        <v>0.8</v>
      </c>
      <c r="G132" s="119">
        <v>0.7</v>
      </c>
      <c r="H132" s="119">
        <v>1</v>
      </c>
      <c r="I132" s="119">
        <v>1.2</v>
      </c>
      <c r="J132" s="119">
        <v>1.4</v>
      </c>
      <c r="K132" s="119">
        <v>1.3</v>
      </c>
      <c r="L132" s="119">
        <v>1</v>
      </c>
      <c r="M132" s="119">
        <v>0.95</v>
      </c>
      <c r="N132" s="119">
        <v>0.7</v>
      </c>
      <c r="O132" s="119">
        <v>1.45</v>
      </c>
    </row>
    <row r="133" spans="1:15" s="67" customFormat="1" x14ac:dyDescent="0.25">
      <c r="A133" s="362" t="s">
        <v>542</v>
      </c>
      <c r="B133" s="267">
        <v>0.65</v>
      </c>
      <c r="C133" s="363"/>
      <c r="D133" s="364">
        <f t="shared" ref="D133:O133" si="142">D135/($B$45*D130)</f>
        <v>0.52</v>
      </c>
      <c r="E133" s="364">
        <f t="shared" si="142"/>
        <v>0.45499999999999996</v>
      </c>
      <c r="F133" s="364">
        <f t="shared" si="142"/>
        <v>0.52</v>
      </c>
      <c r="G133" s="364">
        <f t="shared" si="142"/>
        <v>0.45499999999999996</v>
      </c>
      <c r="H133" s="364">
        <f t="shared" si="142"/>
        <v>0.65</v>
      </c>
      <c r="I133" s="364">
        <f t="shared" si="142"/>
        <v>0.78</v>
      </c>
      <c r="J133" s="364">
        <f t="shared" si="142"/>
        <v>0.90999999999999992</v>
      </c>
      <c r="K133" s="364">
        <f t="shared" si="142"/>
        <v>0.84500000000000008</v>
      </c>
      <c r="L133" s="364">
        <f t="shared" si="142"/>
        <v>0.65</v>
      </c>
      <c r="M133" s="364">
        <f t="shared" si="142"/>
        <v>0.61749999999999994</v>
      </c>
      <c r="N133" s="364">
        <f t="shared" si="142"/>
        <v>0.45499999999999996</v>
      </c>
      <c r="O133" s="364">
        <f t="shared" si="142"/>
        <v>0.9425</v>
      </c>
    </row>
    <row r="134" spans="1:15" x14ac:dyDescent="0.25">
      <c r="A134" s="110" t="s">
        <v>540</v>
      </c>
      <c r="B134" s="111"/>
      <c r="C134" s="112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</row>
    <row r="135" spans="1:15" x14ac:dyDescent="0.25">
      <c r="A135" s="113" t="s">
        <v>525</v>
      </c>
      <c r="B135" s="114">
        <f>SUM(D135:O135)</f>
        <v>11428.560000000001</v>
      </c>
      <c r="C135" s="96" t="s">
        <v>541</v>
      </c>
      <c r="D135" s="114">
        <f t="shared" ref="D135:O135" si="143">$B$45*D$130*D$132*$B$133</f>
        <v>773.7600000000001</v>
      </c>
      <c r="E135" s="114">
        <f t="shared" si="143"/>
        <v>611.52</v>
      </c>
      <c r="F135" s="114">
        <f t="shared" si="143"/>
        <v>773.7600000000001</v>
      </c>
      <c r="G135" s="114">
        <f t="shared" si="143"/>
        <v>655.19999999999993</v>
      </c>
      <c r="H135" s="114">
        <f t="shared" si="143"/>
        <v>967.2</v>
      </c>
      <c r="I135" s="114">
        <f t="shared" si="143"/>
        <v>1123.2</v>
      </c>
      <c r="J135" s="114">
        <f t="shared" si="143"/>
        <v>1354.08</v>
      </c>
      <c r="K135" s="114">
        <f t="shared" si="143"/>
        <v>1257.3600000000001</v>
      </c>
      <c r="L135" s="114">
        <f t="shared" si="143"/>
        <v>936</v>
      </c>
      <c r="M135" s="114">
        <f t="shared" si="143"/>
        <v>918.83999999999992</v>
      </c>
      <c r="N135" s="114">
        <f t="shared" si="143"/>
        <v>655.19999999999993</v>
      </c>
      <c r="O135" s="114">
        <f t="shared" si="143"/>
        <v>1402.44</v>
      </c>
    </row>
    <row r="136" spans="1:15" x14ac:dyDescent="0.25">
      <c r="A136" s="113" t="s">
        <v>526</v>
      </c>
      <c r="B136" s="114">
        <f t="shared" ref="B136:B139" si="144">SUM(D136:O136)</f>
        <v>15999.983999999999</v>
      </c>
      <c r="C136" s="96" t="s">
        <v>613</v>
      </c>
      <c r="D136" s="114">
        <f t="shared" ref="D136:O136" si="145">D$135*$B124*$B$122</f>
        <v>1083.2640000000001</v>
      </c>
      <c r="E136" s="114">
        <f t="shared" si="145"/>
        <v>856.12799999999993</v>
      </c>
      <c r="F136" s="114">
        <f t="shared" si="145"/>
        <v>1083.2640000000001</v>
      </c>
      <c r="G136" s="114">
        <f t="shared" si="145"/>
        <v>917.27999999999986</v>
      </c>
      <c r="H136" s="114">
        <f t="shared" si="145"/>
        <v>1354.08</v>
      </c>
      <c r="I136" s="114">
        <f t="shared" si="145"/>
        <v>1572.48</v>
      </c>
      <c r="J136" s="114">
        <f t="shared" si="145"/>
        <v>1895.7119999999998</v>
      </c>
      <c r="K136" s="114">
        <f t="shared" si="145"/>
        <v>1760.3040000000001</v>
      </c>
      <c r="L136" s="114">
        <f t="shared" si="145"/>
        <v>1310.3999999999999</v>
      </c>
      <c r="M136" s="114">
        <f t="shared" si="145"/>
        <v>1286.3759999999997</v>
      </c>
      <c r="N136" s="114">
        <f t="shared" si="145"/>
        <v>917.27999999999986</v>
      </c>
      <c r="O136" s="114">
        <f t="shared" si="145"/>
        <v>1963.4159999999999</v>
      </c>
    </row>
    <row r="137" spans="1:15" x14ac:dyDescent="0.25">
      <c r="A137" s="113" t="s">
        <v>512</v>
      </c>
      <c r="B137" s="114">
        <f t="shared" si="144"/>
        <v>11428.560000000001</v>
      </c>
      <c r="C137" s="96" t="s">
        <v>360</v>
      </c>
      <c r="D137" s="114">
        <f t="shared" ref="D137:O137" si="146">D$135*$B125*$B$122</f>
        <v>773.7600000000001</v>
      </c>
      <c r="E137" s="114">
        <f t="shared" si="146"/>
        <v>611.52</v>
      </c>
      <c r="F137" s="114">
        <f t="shared" si="146"/>
        <v>773.7600000000001</v>
      </c>
      <c r="G137" s="114">
        <f t="shared" si="146"/>
        <v>655.19999999999993</v>
      </c>
      <c r="H137" s="114">
        <f t="shared" si="146"/>
        <v>967.2</v>
      </c>
      <c r="I137" s="114">
        <f t="shared" si="146"/>
        <v>1123.2</v>
      </c>
      <c r="J137" s="114">
        <f t="shared" si="146"/>
        <v>1354.08</v>
      </c>
      <c r="K137" s="114">
        <f t="shared" si="146"/>
        <v>1257.3600000000001</v>
      </c>
      <c r="L137" s="114">
        <f t="shared" si="146"/>
        <v>936</v>
      </c>
      <c r="M137" s="114">
        <f t="shared" si="146"/>
        <v>918.83999999999992</v>
      </c>
      <c r="N137" s="114">
        <f t="shared" si="146"/>
        <v>655.19999999999993</v>
      </c>
      <c r="O137" s="114">
        <f t="shared" si="146"/>
        <v>1402.44</v>
      </c>
    </row>
    <row r="138" spans="1:15" x14ac:dyDescent="0.25">
      <c r="A138" s="113" t="s">
        <v>527</v>
      </c>
      <c r="B138" s="114">
        <f t="shared" si="144"/>
        <v>2285.712</v>
      </c>
      <c r="C138" s="96" t="s">
        <v>360</v>
      </c>
      <c r="D138" s="114">
        <f t="shared" ref="D138:O138" si="147">D$135*$B126*$B$122</f>
        <v>154.75200000000004</v>
      </c>
      <c r="E138" s="114">
        <f t="shared" si="147"/>
        <v>122.304</v>
      </c>
      <c r="F138" s="114">
        <f t="shared" si="147"/>
        <v>154.75200000000004</v>
      </c>
      <c r="G138" s="114">
        <f t="shared" si="147"/>
        <v>131.04</v>
      </c>
      <c r="H138" s="114">
        <f t="shared" si="147"/>
        <v>193.44000000000003</v>
      </c>
      <c r="I138" s="114">
        <f t="shared" si="147"/>
        <v>224.64000000000001</v>
      </c>
      <c r="J138" s="114">
        <f t="shared" si="147"/>
        <v>270.81599999999997</v>
      </c>
      <c r="K138" s="114">
        <f t="shared" si="147"/>
        <v>251.47200000000004</v>
      </c>
      <c r="L138" s="114">
        <f t="shared" si="147"/>
        <v>187.20000000000002</v>
      </c>
      <c r="M138" s="114">
        <f t="shared" si="147"/>
        <v>183.768</v>
      </c>
      <c r="N138" s="114">
        <f t="shared" si="147"/>
        <v>131.04</v>
      </c>
      <c r="O138" s="114">
        <f t="shared" si="147"/>
        <v>280.488</v>
      </c>
    </row>
    <row r="139" spans="1:15" s="67" customFormat="1" x14ac:dyDescent="0.25">
      <c r="A139" s="113" t="s">
        <v>492</v>
      </c>
      <c r="B139" s="114">
        <f t="shared" si="144"/>
        <v>952.38000000000011</v>
      </c>
      <c r="C139" s="96" t="s">
        <v>573</v>
      </c>
      <c r="D139" s="114">
        <f t="shared" ref="D139:O139" si="148">$B$62*D$130*$B$133*D132</f>
        <v>64.48</v>
      </c>
      <c r="E139" s="114">
        <f t="shared" si="148"/>
        <v>50.959999999999994</v>
      </c>
      <c r="F139" s="114">
        <f t="shared" si="148"/>
        <v>64.48</v>
      </c>
      <c r="G139" s="114">
        <f t="shared" si="148"/>
        <v>54.599999999999994</v>
      </c>
      <c r="H139" s="114">
        <f t="shared" si="148"/>
        <v>80.600000000000009</v>
      </c>
      <c r="I139" s="114">
        <f t="shared" si="148"/>
        <v>93.6</v>
      </c>
      <c r="J139" s="114">
        <f t="shared" si="148"/>
        <v>112.84</v>
      </c>
      <c r="K139" s="114">
        <f t="shared" si="148"/>
        <v>104.78000000000002</v>
      </c>
      <c r="L139" s="114">
        <f t="shared" si="148"/>
        <v>78</v>
      </c>
      <c r="M139" s="114">
        <f t="shared" si="148"/>
        <v>76.570000000000007</v>
      </c>
      <c r="N139" s="114">
        <f t="shared" si="148"/>
        <v>54.599999999999994</v>
      </c>
      <c r="O139" s="114">
        <f t="shared" si="148"/>
        <v>116.87</v>
      </c>
    </row>
    <row r="140" spans="1:15" x14ac:dyDescent="0.25">
      <c r="A140" s="115" t="s">
        <v>361</v>
      </c>
      <c r="B140" s="116"/>
      <c r="C140" s="117"/>
      <c r="D140" s="116"/>
      <c r="E140" s="116"/>
      <c r="F140" s="116"/>
      <c r="G140" s="116"/>
      <c r="H140" s="116"/>
      <c r="I140" s="116"/>
      <c r="J140" s="116"/>
      <c r="K140" s="116"/>
      <c r="L140" s="116"/>
      <c r="M140" s="278"/>
      <c r="N140" s="278"/>
      <c r="O140" s="278"/>
    </row>
    <row r="141" spans="1:15" x14ac:dyDescent="0.25">
      <c r="A141" s="118">
        <v>2020</v>
      </c>
      <c r="B141" s="109">
        <f>AVERAGE(D141:O141)</f>
        <v>0</v>
      </c>
      <c r="C141" s="471" t="s">
        <v>339</v>
      </c>
      <c r="D141" s="109">
        <v>0</v>
      </c>
      <c r="E141" s="109">
        <v>0</v>
      </c>
      <c r="F141" s="109">
        <v>0</v>
      </c>
      <c r="G141" s="109">
        <v>0</v>
      </c>
      <c r="H141" s="109">
        <v>0</v>
      </c>
      <c r="I141" s="109">
        <v>0</v>
      </c>
      <c r="J141" s="109">
        <v>0</v>
      </c>
      <c r="K141" s="109">
        <v>0</v>
      </c>
      <c r="L141" s="109">
        <v>0</v>
      </c>
      <c r="M141" s="109">
        <v>0</v>
      </c>
      <c r="N141" s="109">
        <v>0</v>
      </c>
      <c r="O141" s="109">
        <v>0</v>
      </c>
    </row>
    <row r="142" spans="1:15" x14ac:dyDescent="0.25">
      <c r="A142" s="118">
        <v>2021</v>
      </c>
      <c r="B142" s="109">
        <f t="shared" ref="B142:B144" si="149">AVERAGE(D142:O142)</f>
        <v>0.31250000000000006</v>
      </c>
      <c r="C142" s="471"/>
      <c r="D142" s="109">
        <v>0</v>
      </c>
      <c r="E142" s="109">
        <v>0</v>
      </c>
      <c r="F142" s="109">
        <v>0</v>
      </c>
      <c r="G142" s="109">
        <v>0</v>
      </c>
      <c r="H142" s="109">
        <v>0</v>
      </c>
      <c r="I142" s="109">
        <v>0</v>
      </c>
      <c r="J142" s="279">
        <v>0.5</v>
      </c>
      <c r="K142" s="279">
        <f t="shared" ref="K142:M142" si="150">J142+0.05</f>
        <v>0.55000000000000004</v>
      </c>
      <c r="L142" s="279">
        <f t="shared" si="150"/>
        <v>0.60000000000000009</v>
      </c>
      <c r="M142" s="279">
        <f t="shared" si="150"/>
        <v>0.65000000000000013</v>
      </c>
      <c r="N142" s="279">
        <f>M142+0.05</f>
        <v>0.70000000000000018</v>
      </c>
      <c r="O142" s="279">
        <f>N142+0.05</f>
        <v>0.75000000000000022</v>
      </c>
    </row>
    <row r="143" spans="1:15" x14ac:dyDescent="0.25">
      <c r="A143" s="118">
        <v>2022</v>
      </c>
      <c r="B143" s="109">
        <f t="shared" si="149"/>
        <v>0.95833333333333348</v>
      </c>
      <c r="C143" s="471"/>
      <c r="D143" s="279">
        <f>O142+0.05</f>
        <v>0.80000000000000027</v>
      </c>
      <c r="E143" s="279">
        <f>D143+0.05</f>
        <v>0.85000000000000031</v>
      </c>
      <c r="F143" s="279">
        <f t="shared" ref="F143:H143" si="151">E143+0.05</f>
        <v>0.90000000000000036</v>
      </c>
      <c r="G143" s="279">
        <f t="shared" si="151"/>
        <v>0.9500000000000004</v>
      </c>
      <c r="H143" s="279">
        <f t="shared" si="151"/>
        <v>1.0000000000000004</v>
      </c>
      <c r="I143" s="279">
        <v>1</v>
      </c>
      <c r="J143" s="279">
        <v>1</v>
      </c>
      <c r="K143" s="279">
        <v>1</v>
      </c>
      <c r="L143" s="279">
        <v>1</v>
      </c>
      <c r="M143" s="279">
        <v>1</v>
      </c>
      <c r="N143" s="279">
        <v>1</v>
      </c>
      <c r="O143" s="279">
        <v>1</v>
      </c>
    </row>
    <row r="144" spans="1:15" x14ac:dyDescent="0.25">
      <c r="A144" s="118" t="s">
        <v>546</v>
      </c>
      <c r="B144" s="109">
        <f t="shared" si="149"/>
        <v>1</v>
      </c>
      <c r="C144" s="471"/>
      <c r="D144" s="109">
        <v>1</v>
      </c>
      <c r="E144" s="109">
        <v>1</v>
      </c>
      <c r="F144" s="109">
        <v>1</v>
      </c>
      <c r="G144" s="109">
        <v>1</v>
      </c>
      <c r="H144" s="109">
        <v>1</v>
      </c>
      <c r="I144" s="109">
        <v>1</v>
      </c>
      <c r="J144" s="109">
        <v>1</v>
      </c>
      <c r="K144" s="109">
        <v>1</v>
      </c>
      <c r="L144" s="109">
        <v>1</v>
      </c>
      <c r="M144" s="279">
        <v>1</v>
      </c>
      <c r="N144" s="279">
        <v>1</v>
      </c>
      <c r="O144" s="279">
        <v>1</v>
      </c>
    </row>
    <row r="145" spans="1:15" ht="21" customHeight="1" x14ac:dyDescent="0.25">
      <c r="D145" s="2"/>
      <c r="E145" s="2"/>
      <c r="F145" s="2"/>
    </row>
    <row r="146" spans="1:15" x14ac:dyDescent="0.25">
      <c r="A146" s="4" t="s">
        <v>139</v>
      </c>
    </row>
    <row r="147" spans="1:15" x14ac:dyDescent="0.25">
      <c r="A147" s="282" t="s">
        <v>545</v>
      </c>
      <c r="B147" s="282" t="s">
        <v>52</v>
      </c>
      <c r="C147" s="84" t="s">
        <v>528</v>
      </c>
      <c r="D147" s="256" t="s">
        <v>529</v>
      </c>
      <c r="E147" s="256" t="s">
        <v>530</v>
      </c>
      <c r="F147" s="256" t="s">
        <v>531</v>
      </c>
      <c r="G147" s="256" t="s">
        <v>532</v>
      </c>
      <c r="H147" s="256" t="s">
        <v>533</v>
      </c>
      <c r="I147" s="256" t="s">
        <v>534</v>
      </c>
      <c r="J147" s="256" t="s">
        <v>535</v>
      </c>
      <c r="K147" s="256" t="s">
        <v>536</v>
      </c>
      <c r="L147" s="256" t="s">
        <v>537</v>
      </c>
      <c r="M147" s="256" t="s">
        <v>538</v>
      </c>
      <c r="N147" s="256" t="s">
        <v>539</v>
      </c>
      <c r="O147" s="67"/>
    </row>
    <row r="148" spans="1:15" x14ac:dyDescent="0.25">
      <c r="A148" s="129" t="str">
        <f>A135</f>
        <v>Проживание</v>
      </c>
      <c r="B148" s="134" t="str">
        <f>CONCATENATE("руб./",C135)</f>
        <v>руб./дом/сут.</v>
      </c>
      <c r="C148" s="243">
        <f t="shared" ref="C148:N148" si="152">IF(D132&lt;80%,3500,IF(D132&lt;100%,4000,5000))</f>
        <v>4000</v>
      </c>
      <c r="D148" s="243">
        <f t="shared" si="152"/>
        <v>3500</v>
      </c>
      <c r="E148" s="243">
        <f t="shared" si="152"/>
        <v>4000</v>
      </c>
      <c r="F148" s="243">
        <f t="shared" si="152"/>
        <v>3500</v>
      </c>
      <c r="G148" s="243">
        <f t="shared" si="152"/>
        <v>5000</v>
      </c>
      <c r="H148" s="243">
        <f t="shared" si="152"/>
        <v>5000</v>
      </c>
      <c r="I148" s="243">
        <f t="shared" si="152"/>
        <v>5000</v>
      </c>
      <c r="J148" s="243">
        <f t="shared" si="152"/>
        <v>5000</v>
      </c>
      <c r="K148" s="243">
        <f t="shared" si="152"/>
        <v>5000</v>
      </c>
      <c r="L148" s="243">
        <f t="shared" si="152"/>
        <v>4000</v>
      </c>
      <c r="M148" s="243">
        <f t="shared" si="152"/>
        <v>3500</v>
      </c>
      <c r="N148" s="243">
        <f t="shared" si="152"/>
        <v>5000</v>
      </c>
      <c r="O148" s="67"/>
    </row>
    <row r="149" spans="1:15" x14ac:dyDescent="0.25">
      <c r="A149" s="129" t="str">
        <f>A136</f>
        <v>Питание</v>
      </c>
      <c r="B149" s="134" t="str">
        <f>CONCATENATE("руб./",C136)</f>
        <v>руб./чел./дн.</v>
      </c>
      <c r="C149" s="243">
        <v>1000</v>
      </c>
      <c r="D149" s="243">
        <v>1000</v>
      </c>
      <c r="E149" s="243">
        <v>1000</v>
      </c>
      <c r="F149" s="243">
        <v>1000</v>
      </c>
      <c r="G149" s="243">
        <v>1000</v>
      </c>
      <c r="H149" s="243">
        <v>1000</v>
      </c>
      <c r="I149" s="243">
        <v>1000</v>
      </c>
      <c r="J149" s="243">
        <v>1000</v>
      </c>
      <c r="K149" s="243">
        <v>1000</v>
      </c>
      <c r="L149" s="243">
        <v>1000</v>
      </c>
      <c r="M149" s="243">
        <v>1000</v>
      </c>
      <c r="N149" s="243">
        <v>1000</v>
      </c>
      <c r="O149" s="67"/>
    </row>
    <row r="150" spans="1:15" ht="13.5" customHeight="1" x14ac:dyDescent="0.25">
      <c r="A150" s="129" t="str">
        <f>A137</f>
        <v>Банный комплекс</v>
      </c>
      <c r="B150" s="134" t="str">
        <f>CONCATENATE("руб./",C137)</f>
        <v>руб./чел./сеанс</v>
      </c>
      <c r="C150" s="243">
        <v>500</v>
      </c>
      <c r="D150" s="243">
        <v>500</v>
      </c>
      <c r="E150" s="243">
        <v>500</v>
      </c>
      <c r="F150" s="243">
        <v>500</v>
      </c>
      <c r="G150" s="243">
        <v>500</v>
      </c>
      <c r="H150" s="243">
        <v>500</v>
      </c>
      <c r="I150" s="243">
        <v>500</v>
      </c>
      <c r="J150" s="243">
        <v>500</v>
      </c>
      <c r="K150" s="243">
        <v>500</v>
      </c>
      <c r="L150" s="243">
        <v>500</v>
      </c>
      <c r="M150" s="243">
        <v>500</v>
      </c>
      <c r="N150" s="243">
        <v>500</v>
      </c>
      <c r="O150" s="67"/>
    </row>
    <row r="151" spans="1:15" s="67" customFormat="1" ht="13.5" customHeight="1" x14ac:dyDescent="0.25">
      <c r="A151" s="129" t="str">
        <f>A138</f>
        <v>Прокат спортивного инвентаря</v>
      </c>
      <c r="B151" s="134" t="str">
        <f>CONCATENATE("руб./",C138)</f>
        <v>руб./чел./сеанс</v>
      </c>
      <c r="C151" s="243">
        <v>400</v>
      </c>
      <c r="D151" s="243">
        <v>400</v>
      </c>
      <c r="E151" s="243">
        <v>400</v>
      </c>
      <c r="F151" s="243">
        <v>400</v>
      </c>
      <c r="G151" s="243">
        <v>400</v>
      </c>
      <c r="H151" s="243">
        <v>400</v>
      </c>
      <c r="I151" s="243">
        <v>400</v>
      </c>
      <c r="J151" s="243">
        <v>400</v>
      </c>
      <c r="K151" s="243">
        <v>400</v>
      </c>
      <c r="L151" s="243">
        <v>400</v>
      </c>
      <c r="M151" s="243">
        <v>400</v>
      </c>
      <c r="N151" s="243">
        <v>400</v>
      </c>
    </row>
    <row r="152" spans="1:15" s="67" customFormat="1" ht="13.5" customHeight="1" x14ac:dyDescent="0.25">
      <c r="A152" s="129" t="str">
        <f>A139</f>
        <v>Барбекю-парк</v>
      </c>
      <c r="B152" s="134" t="str">
        <f>CONCATENATE("руб./",C139)</f>
        <v>руб./домик/сутки</v>
      </c>
      <c r="C152" s="243">
        <v>3000</v>
      </c>
      <c r="D152" s="243">
        <v>3000</v>
      </c>
      <c r="E152" s="243">
        <v>3000</v>
      </c>
      <c r="F152" s="243">
        <v>3000</v>
      </c>
      <c r="G152" s="243">
        <v>3000</v>
      </c>
      <c r="H152" s="243">
        <v>3000</v>
      </c>
      <c r="I152" s="243">
        <v>3000</v>
      </c>
      <c r="J152" s="243">
        <v>3000</v>
      </c>
      <c r="K152" s="243">
        <v>3000</v>
      </c>
      <c r="L152" s="243">
        <v>3000</v>
      </c>
      <c r="M152" s="243">
        <v>3000</v>
      </c>
      <c r="N152" s="243">
        <v>3000</v>
      </c>
    </row>
    <row r="153" spans="1:15" x14ac:dyDescent="0.25">
      <c r="D153" s="250"/>
      <c r="E153" s="250"/>
    </row>
    <row r="154" spans="1:15" x14ac:dyDescent="0.25">
      <c r="A154" s="68" t="s">
        <v>136</v>
      </c>
    </row>
    <row r="155" spans="1:15" s="67" customFormat="1" ht="12.75" customHeight="1" x14ac:dyDescent="0.25">
      <c r="A155" s="89" t="s">
        <v>577</v>
      </c>
      <c r="B155" s="287" t="s">
        <v>579</v>
      </c>
      <c r="C155" s="288" t="s">
        <v>578</v>
      </c>
      <c r="E155" s="1"/>
      <c r="F155" s="1"/>
    </row>
    <row r="156" spans="1:15" x14ac:dyDescent="0.25">
      <c r="A156" s="125" t="s">
        <v>562</v>
      </c>
      <c r="B156" s="121">
        <f>SUM(B157:B160)</f>
        <v>4</v>
      </c>
      <c r="C156" s="121">
        <f>SUMPRODUCT(B157:B160,C157:C160)</f>
        <v>165000</v>
      </c>
      <c r="D156" s="67"/>
      <c r="G156" s="67"/>
    </row>
    <row r="157" spans="1:15" x14ac:dyDescent="0.25">
      <c r="A157" s="124" t="s">
        <v>549</v>
      </c>
      <c r="B157" s="122">
        <v>1</v>
      </c>
      <c r="C157" s="122">
        <v>70000</v>
      </c>
      <c r="D157" s="67"/>
      <c r="G157" s="67"/>
    </row>
    <row r="158" spans="1:15" s="67" customFormat="1" x14ac:dyDescent="0.25">
      <c r="A158" s="124" t="s">
        <v>552</v>
      </c>
      <c r="B158" s="122">
        <v>1</v>
      </c>
      <c r="C158" s="122">
        <v>40000</v>
      </c>
    </row>
    <row r="159" spans="1:15" s="67" customFormat="1" x14ac:dyDescent="0.25">
      <c r="A159" s="124" t="s">
        <v>550</v>
      </c>
      <c r="B159" s="122">
        <v>1</v>
      </c>
      <c r="C159" s="122">
        <v>40000</v>
      </c>
    </row>
    <row r="160" spans="1:15" s="67" customFormat="1" x14ac:dyDescent="0.25">
      <c r="A160" s="124" t="s">
        <v>551</v>
      </c>
      <c r="B160" s="122">
        <v>1</v>
      </c>
      <c r="C160" s="122">
        <v>15000</v>
      </c>
    </row>
    <row r="161" spans="1:8" s="67" customFormat="1" x14ac:dyDescent="0.25">
      <c r="A161" s="125" t="s">
        <v>556</v>
      </c>
      <c r="B161" s="121">
        <f>SUM(B162:B165)</f>
        <v>11</v>
      </c>
      <c r="C161" s="121">
        <f>SUMPRODUCT(B162:B165,C162:C165)</f>
        <v>235000</v>
      </c>
    </row>
    <row r="162" spans="1:8" s="67" customFormat="1" x14ac:dyDescent="0.25">
      <c r="A162" s="124" t="s">
        <v>553</v>
      </c>
      <c r="B162" s="122">
        <v>4</v>
      </c>
      <c r="C162" s="122">
        <v>25000</v>
      </c>
    </row>
    <row r="163" spans="1:8" s="67" customFormat="1" x14ac:dyDescent="0.25">
      <c r="A163" s="124" t="s">
        <v>554</v>
      </c>
      <c r="B163" s="122">
        <v>1</v>
      </c>
      <c r="C163" s="122">
        <v>25000</v>
      </c>
    </row>
    <row r="164" spans="1:8" s="67" customFormat="1" x14ac:dyDescent="0.25">
      <c r="A164" s="124" t="s">
        <v>623</v>
      </c>
      <c r="B164" s="122">
        <v>4</v>
      </c>
      <c r="C164" s="122">
        <v>15000</v>
      </c>
    </row>
    <row r="165" spans="1:8" s="67" customFormat="1" x14ac:dyDescent="0.25">
      <c r="A165" s="124" t="s">
        <v>555</v>
      </c>
      <c r="B165" s="122">
        <v>2</v>
      </c>
      <c r="C165" s="122">
        <v>25000</v>
      </c>
    </row>
    <row r="166" spans="1:8" s="67" customFormat="1" x14ac:dyDescent="0.25">
      <c r="A166" s="125" t="s">
        <v>557</v>
      </c>
      <c r="B166" s="121">
        <f>SUM(B167:B170)</f>
        <v>10</v>
      </c>
      <c r="C166" s="121">
        <f>SUMPRODUCT(B167:B170,C167:C170)</f>
        <v>245000</v>
      </c>
    </row>
    <row r="167" spans="1:8" s="67" customFormat="1" x14ac:dyDescent="0.25">
      <c r="A167" s="124" t="s">
        <v>558</v>
      </c>
      <c r="B167" s="122">
        <v>1</v>
      </c>
      <c r="C167" s="122">
        <v>40000</v>
      </c>
    </row>
    <row r="168" spans="1:8" s="67" customFormat="1" x14ac:dyDescent="0.25">
      <c r="A168" s="124" t="s">
        <v>559</v>
      </c>
      <c r="B168" s="122">
        <v>3</v>
      </c>
      <c r="C168" s="122">
        <v>25000</v>
      </c>
    </row>
    <row r="169" spans="1:8" s="67" customFormat="1" x14ac:dyDescent="0.25">
      <c r="A169" s="124" t="s">
        <v>560</v>
      </c>
      <c r="B169" s="122">
        <v>2</v>
      </c>
      <c r="C169" s="122">
        <v>25000</v>
      </c>
    </row>
    <row r="170" spans="1:8" x14ac:dyDescent="0.25">
      <c r="A170" s="124" t="s">
        <v>561</v>
      </c>
      <c r="B170" s="122">
        <v>4</v>
      </c>
      <c r="C170" s="122">
        <v>20000</v>
      </c>
      <c r="D170" s="67"/>
      <c r="G170" s="67"/>
    </row>
    <row r="171" spans="1:8" s="67" customFormat="1" x14ac:dyDescent="0.25">
      <c r="A171" s="125" t="s">
        <v>563</v>
      </c>
      <c r="B171" s="121">
        <f>SUM(B172:B174)</f>
        <v>6</v>
      </c>
      <c r="C171" s="121">
        <f>SUMPRODUCT(B172:B174,C172:C174)</f>
        <v>110000</v>
      </c>
    </row>
    <row r="172" spans="1:8" s="67" customFormat="1" x14ac:dyDescent="0.25">
      <c r="A172" s="124" t="s">
        <v>569</v>
      </c>
      <c r="B172" s="122">
        <v>2</v>
      </c>
      <c r="C172" s="122">
        <v>25000</v>
      </c>
    </row>
    <row r="173" spans="1:8" s="67" customFormat="1" x14ac:dyDescent="0.25">
      <c r="A173" s="124" t="s">
        <v>564</v>
      </c>
      <c r="B173" s="122">
        <v>2</v>
      </c>
      <c r="C173" s="122">
        <v>15000</v>
      </c>
    </row>
    <row r="174" spans="1:8" s="67" customFormat="1" x14ac:dyDescent="0.25">
      <c r="A174" s="124" t="s">
        <v>565</v>
      </c>
      <c r="B174" s="122">
        <v>2</v>
      </c>
      <c r="C174" s="122">
        <v>15000</v>
      </c>
    </row>
    <row r="175" spans="1:8" x14ac:dyDescent="0.25">
      <c r="A175" s="125" t="s">
        <v>114</v>
      </c>
      <c r="B175" s="121">
        <f>B171+B166+B161+B156</f>
        <v>31</v>
      </c>
      <c r="C175" s="126" t="s">
        <v>51</v>
      </c>
      <c r="D175" s="67"/>
      <c r="G175" s="67"/>
      <c r="H175" s="67"/>
    </row>
    <row r="176" spans="1:8" x14ac:dyDescent="0.25">
      <c r="G176" s="67"/>
    </row>
    <row r="177" spans="1:6" x14ac:dyDescent="0.25">
      <c r="A177" s="48" t="s">
        <v>138</v>
      </c>
    </row>
    <row r="178" spans="1:6" x14ac:dyDescent="0.25">
      <c r="A178" s="257" t="s">
        <v>62</v>
      </c>
      <c r="B178" s="258" t="s">
        <v>363</v>
      </c>
      <c r="C178" s="67"/>
      <c r="D178" s="67"/>
      <c r="E178" s="67"/>
      <c r="F178" s="67"/>
    </row>
    <row r="179" spans="1:6" x14ac:dyDescent="0.25">
      <c r="A179" s="110" t="s">
        <v>65</v>
      </c>
      <c r="B179" s="130"/>
      <c r="C179" s="67"/>
      <c r="D179" s="67"/>
      <c r="E179" s="67"/>
      <c r="F179" s="67"/>
    </row>
    <row r="180" spans="1:6" x14ac:dyDescent="0.25">
      <c r="A180" s="129" t="s">
        <v>566</v>
      </c>
      <c r="B180" s="128">
        <v>8591</v>
      </c>
      <c r="C180" s="67"/>
      <c r="D180" s="67"/>
      <c r="E180" s="67"/>
      <c r="F180" s="67"/>
    </row>
    <row r="181" spans="1:6" s="67" customFormat="1" x14ac:dyDescent="0.25">
      <c r="A181" s="129" t="s">
        <v>567</v>
      </c>
      <c r="B181" s="128">
        <v>100000</v>
      </c>
      <c r="E181" s="67" t="s">
        <v>64</v>
      </c>
    </row>
    <row r="182" spans="1:6" s="67" customFormat="1" x14ac:dyDescent="0.25">
      <c r="A182" s="129" t="s">
        <v>588</v>
      </c>
      <c r="B182" s="128">
        <v>47000</v>
      </c>
    </row>
    <row r="183" spans="1:6" s="67" customFormat="1" x14ac:dyDescent="0.25">
      <c r="A183" s="129" t="s">
        <v>568</v>
      </c>
      <c r="B183" s="128">
        <v>30000</v>
      </c>
    </row>
    <row r="184" spans="1:6" x14ac:dyDescent="0.25">
      <c r="A184" s="129" t="s">
        <v>377</v>
      </c>
      <c r="B184" s="128">
        <v>20000</v>
      </c>
      <c r="C184" s="67"/>
      <c r="D184" s="67"/>
      <c r="E184" s="67"/>
      <c r="F184" s="67"/>
    </row>
    <row r="185" spans="1:6" s="67" customFormat="1" x14ac:dyDescent="0.25">
      <c r="A185" s="129" t="s">
        <v>341</v>
      </c>
      <c r="B185" s="128">
        <v>15000</v>
      </c>
    </row>
    <row r="186" spans="1:6" s="67" customFormat="1" x14ac:dyDescent="0.25">
      <c r="A186" s="129" t="s">
        <v>342</v>
      </c>
      <c r="B186" s="128">
        <v>7000</v>
      </c>
    </row>
    <row r="187" spans="1:6" x14ac:dyDescent="0.25">
      <c r="A187" s="417" t="s">
        <v>67</v>
      </c>
      <c r="B187" s="418">
        <v>50000</v>
      </c>
      <c r="C187" s="67"/>
      <c r="D187" s="67"/>
      <c r="E187" s="67"/>
      <c r="F187" s="67"/>
    </row>
    <row r="188" spans="1:6" s="67" customFormat="1" x14ac:dyDescent="0.25">
      <c r="A188" s="342" t="s">
        <v>599</v>
      </c>
      <c r="B188" s="419" t="s">
        <v>600</v>
      </c>
    </row>
    <row r="189" spans="1:6" s="67" customFormat="1" x14ac:dyDescent="0.25">
      <c r="A189" s="336" t="s">
        <v>597</v>
      </c>
      <c r="B189" s="420">
        <v>0.02</v>
      </c>
    </row>
    <row r="190" spans="1:6" s="67" customFormat="1" x14ac:dyDescent="0.25">
      <c r="A190" s="416"/>
      <c r="B190" s="45"/>
    </row>
    <row r="192" spans="1:6" x14ac:dyDescent="0.25">
      <c r="A192" s="48" t="s">
        <v>167</v>
      </c>
    </row>
    <row r="193" spans="1:6" ht="26.4" x14ac:dyDescent="0.25">
      <c r="A193" s="270" t="s">
        <v>62</v>
      </c>
      <c r="B193" s="271" t="s">
        <v>52</v>
      </c>
      <c r="C193" s="271" t="s">
        <v>383</v>
      </c>
      <c r="D193" s="271" t="s">
        <v>384</v>
      </c>
      <c r="E193" s="271" t="s">
        <v>385</v>
      </c>
    </row>
    <row r="194" spans="1:6" s="67" customFormat="1" x14ac:dyDescent="0.25">
      <c r="A194" s="110" t="str">
        <f>A148</f>
        <v>Проживание</v>
      </c>
      <c r="B194" s="130"/>
      <c r="C194" s="130"/>
      <c r="D194" s="130"/>
      <c r="E194" s="277">
        <f>SUM(E195:E201)</f>
        <v>0.22332024999999997</v>
      </c>
    </row>
    <row r="195" spans="1:6" s="67" customFormat="1" x14ac:dyDescent="0.25">
      <c r="A195" s="129" t="s">
        <v>386</v>
      </c>
      <c r="B195" s="273" t="s">
        <v>388</v>
      </c>
      <c r="C195" s="274">
        <f>12*B122</f>
        <v>24</v>
      </c>
      <c r="D195" s="274">
        <v>7.1</v>
      </c>
      <c r="E195" s="276">
        <f>C195*D195/C$148</f>
        <v>4.2599999999999992E-2</v>
      </c>
    </row>
    <row r="196" spans="1:6" s="67" customFormat="1" x14ac:dyDescent="0.25">
      <c r="A196" s="129" t="s">
        <v>394</v>
      </c>
      <c r="B196" s="273" t="s">
        <v>389</v>
      </c>
      <c r="C196" s="275">
        <f>0.64*2</f>
        <v>1.28</v>
      </c>
      <c r="D196" s="274">
        <v>71.5</v>
      </c>
      <c r="E196" s="276">
        <f t="shared" ref="E196:E201" si="153">C196*D196/C$148</f>
        <v>2.2879999999999998E-2</v>
      </c>
      <c r="F196" s="280"/>
    </row>
    <row r="197" spans="1:6" s="67" customFormat="1" x14ac:dyDescent="0.25">
      <c r="A197" s="129" t="s">
        <v>570</v>
      </c>
      <c r="B197" s="273" t="s">
        <v>389</v>
      </c>
      <c r="C197" s="275">
        <f>0.005*B122</f>
        <v>0.01</v>
      </c>
      <c r="D197" s="274">
        <v>490.1</v>
      </c>
      <c r="E197" s="276">
        <f t="shared" si="153"/>
        <v>1.2252500000000002E-3</v>
      </c>
      <c r="F197" s="440"/>
    </row>
    <row r="198" spans="1:6" s="67" customFormat="1" x14ac:dyDescent="0.25">
      <c r="A198" s="129" t="s">
        <v>571</v>
      </c>
      <c r="B198" s="273" t="s">
        <v>382</v>
      </c>
      <c r="C198" s="273">
        <f>143.23*2</f>
        <v>286.45999999999998</v>
      </c>
      <c r="D198" s="273">
        <v>1</v>
      </c>
      <c r="E198" s="276">
        <f t="shared" si="153"/>
        <v>7.1614999999999998E-2</v>
      </c>
    </row>
    <row r="199" spans="1:6" s="67" customFormat="1" x14ac:dyDescent="0.25">
      <c r="A199" s="129" t="s">
        <v>584</v>
      </c>
      <c r="B199" s="273" t="s">
        <v>382</v>
      </c>
      <c r="C199" s="273">
        <f>C$148*0.2*0.15</f>
        <v>120</v>
      </c>
      <c r="D199" s="273">
        <v>1</v>
      </c>
      <c r="E199" s="276">
        <f>C199*D199/C$148</f>
        <v>0.03</v>
      </c>
    </row>
    <row r="200" spans="1:6" s="67" customFormat="1" x14ac:dyDescent="0.25">
      <c r="A200" s="129" t="s">
        <v>585</v>
      </c>
      <c r="B200" s="273" t="s">
        <v>382</v>
      </c>
      <c r="C200" s="273">
        <f>C$148*0.3*0.1</f>
        <v>120</v>
      </c>
      <c r="D200" s="273">
        <v>1</v>
      </c>
      <c r="E200" s="276">
        <f t="shared" si="153"/>
        <v>0.03</v>
      </c>
    </row>
    <row r="201" spans="1:6" s="67" customFormat="1" x14ac:dyDescent="0.25">
      <c r="A201" s="129" t="s">
        <v>586</v>
      </c>
      <c r="B201" s="273" t="s">
        <v>382</v>
      </c>
      <c r="C201" s="273">
        <f>C$148*0.25*0.1</f>
        <v>100</v>
      </c>
      <c r="D201" s="273">
        <v>1</v>
      </c>
      <c r="E201" s="276">
        <f t="shared" si="153"/>
        <v>2.5000000000000001E-2</v>
      </c>
    </row>
    <row r="202" spans="1:6" s="67" customFormat="1" x14ac:dyDescent="0.25">
      <c r="A202" s="110" t="str">
        <f>A149</f>
        <v>Питание</v>
      </c>
      <c r="B202" s="130"/>
      <c r="C202" s="130"/>
      <c r="D202" s="130"/>
      <c r="E202" s="277">
        <f>SUM(E203:E206)</f>
        <v>0.28612400000000004</v>
      </c>
    </row>
    <row r="203" spans="1:6" s="67" customFormat="1" x14ac:dyDescent="0.25">
      <c r="A203" s="129" t="s">
        <v>386</v>
      </c>
      <c r="B203" s="273" t="s">
        <v>388</v>
      </c>
      <c r="C203" s="274">
        <v>0.5</v>
      </c>
      <c r="D203" s="273">
        <f>D195</f>
        <v>7.1</v>
      </c>
      <c r="E203" s="276">
        <f>C203*D203/C$149</f>
        <v>3.5499999999999998E-3</v>
      </c>
    </row>
    <row r="204" spans="1:6" s="67" customFormat="1" x14ac:dyDescent="0.25">
      <c r="A204" s="129" t="str">
        <f>A196</f>
        <v>Водоснабжение и водоотведение</v>
      </c>
      <c r="B204" s="273" t="s">
        <v>389</v>
      </c>
      <c r="C204" s="286">
        <f>0.012*3</f>
        <v>3.6000000000000004E-2</v>
      </c>
      <c r="D204" s="273">
        <f>D196</f>
        <v>71.5</v>
      </c>
      <c r="E204" s="276">
        <f t="shared" ref="E204:E206" si="154">C204*D204/C$149</f>
        <v>2.5740000000000003E-3</v>
      </c>
    </row>
    <row r="205" spans="1:6" s="67" customFormat="1" x14ac:dyDescent="0.25">
      <c r="A205" s="129" t="s">
        <v>572</v>
      </c>
      <c r="B205" s="273" t="s">
        <v>382</v>
      </c>
      <c r="C205" s="275">
        <f>C149*0.25</f>
        <v>250</v>
      </c>
      <c r="D205" s="273">
        <v>1</v>
      </c>
      <c r="E205" s="276">
        <f t="shared" si="154"/>
        <v>0.25</v>
      </c>
    </row>
    <row r="206" spans="1:6" s="67" customFormat="1" x14ac:dyDescent="0.25">
      <c r="A206" s="129" t="s">
        <v>387</v>
      </c>
      <c r="B206" s="273" t="s">
        <v>382</v>
      </c>
      <c r="C206" s="273">
        <v>30</v>
      </c>
      <c r="D206" s="273">
        <v>1</v>
      </c>
      <c r="E206" s="276">
        <f t="shared" si="154"/>
        <v>0.03</v>
      </c>
    </row>
    <row r="207" spans="1:6" s="67" customFormat="1" x14ac:dyDescent="0.25">
      <c r="A207" s="110" t="str">
        <f>A150</f>
        <v>Банный комплекс</v>
      </c>
      <c r="B207" s="130"/>
      <c r="C207" s="130"/>
      <c r="D207" s="130"/>
      <c r="E207" s="277">
        <f>SUM(E208:E210)</f>
        <v>0.19861999999999999</v>
      </c>
    </row>
    <row r="208" spans="1:6" s="67" customFormat="1" x14ac:dyDescent="0.25">
      <c r="A208" s="129" t="s">
        <v>386</v>
      </c>
      <c r="B208" s="273" t="s">
        <v>388</v>
      </c>
      <c r="C208" s="274">
        <v>0.5</v>
      </c>
      <c r="D208" s="273">
        <f>D195</f>
        <v>7.1</v>
      </c>
      <c r="E208" s="276">
        <f>C208*D208/C$150</f>
        <v>7.0999999999999995E-3</v>
      </c>
    </row>
    <row r="209" spans="1:7" s="67" customFormat="1" x14ac:dyDescent="0.25">
      <c r="A209" s="129" t="str">
        <f>A204</f>
        <v>Водоснабжение и водоотведение</v>
      </c>
      <c r="B209" s="273" t="s">
        <v>389</v>
      </c>
      <c r="C209" s="275">
        <v>0.64</v>
      </c>
      <c r="D209" s="273">
        <f>D196</f>
        <v>71.5</v>
      </c>
      <c r="E209" s="276">
        <f>C209*D209/C$150</f>
        <v>9.151999999999999E-2</v>
      </c>
    </row>
    <row r="210" spans="1:7" s="67" customFormat="1" x14ac:dyDescent="0.25">
      <c r="A210" s="129" t="s">
        <v>387</v>
      </c>
      <c r="B210" s="273" t="s">
        <v>382</v>
      </c>
      <c r="C210" s="273">
        <v>50</v>
      </c>
      <c r="D210" s="273">
        <v>1</v>
      </c>
      <c r="E210" s="276">
        <f>C210*D210/C$150</f>
        <v>0.1</v>
      </c>
    </row>
    <row r="211" spans="1:7" x14ac:dyDescent="0.25">
      <c r="A211" s="110" t="str">
        <f>A126</f>
        <v>Прокат спортивного инвентаря</v>
      </c>
      <c r="B211" s="130"/>
      <c r="C211" s="130"/>
      <c r="D211" s="130"/>
      <c r="E211" s="277">
        <f>SUM(E212:E212)</f>
        <v>0.1</v>
      </c>
    </row>
    <row r="212" spans="1:7" x14ac:dyDescent="0.25">
      <c r="A212" s="129" t="s">
        <v>574</v>
      </c>
      <c r="B212" s="273" t="s">
        <v>382</v>
      </c>
      <c r="C212" s="273">
        <f>C151*0.1</f>
        <v>40</v>
      </c>
      <c r="D212" s="273">
        <v>1</v>
      </c>
      <c r="E212" s="276">
        <f>C212*D212/C$151</f>
        <v>0.1</v>
      </c>
    </row>
    <row r="213" spans="1:7" x14ac:dyDescent="0.25">
      <c r="A213" s="110" t="str">
        <f>A139</f>
        <v>Барбекю-парк</v>
      </c>
      <c r="B213" s="130"/>
      <c r="C213" s="130"/>
      <c r="D213" s="130"/>
      <c r="E213" s="277">
        <f>SUM(E214:E214)</f>
        <v>0.16666666666666666</v>
      </c>
    </row>
    <row r="214" spans="1:7" x14ac:dyDescent="0.25">
      <c r="A214" s="129" t="s">
        <v>387</v>
      </c>
      <c r="B214" s="273" t="s">
        <v>382</v>
      </c>
      <c r="C214" s="273">
        <v>500</v>
      </c>
      <c r="D214" s="273">
        <v>1</v>
      </c>
      <c r="E214" s="276">
        <f>C214*D214/C$152</f>
        <v>0.16666666666666666</v>
      </c>
    </row>
    <row r="216" spans="1:7" s="67" customFormat="1" x14ac:dyDescent="0.25">
      <c r="B216" s="54"/>
    </row>
    <row r="217" spans="1:7" s="67" customFormat="1" x14ac:dyDescent="0.25">
      <c r="A217" s="272"/>
      <c r="B217" s="41"/>
      <c r="C217" s="244"/>
      <c r="D217" s="245"/>
      <c r="E217" s="245"/>
      <c r="F217" s="245"/>
      <c r="G217" s="2"/>
    </row>
  </sheetData>
  <mergeCells count="16">
    <mergeCell ref="A11:A12"/>
    <mergeCell ref="E39:F39"/>
    <mergeCell ref="G39:G41"/>
    <mergeCell ref="E40:E41"/>
    <mergeCell ref="F40:F41"/>
    <mergeCell ref="H39:U39"/>
    <mergeCell ref="A129:A131"/>
    <mergeCell ref="B129:B131"/>
    <mergeCell ref="C129:C131"/>
    <mergeCell ref="C141:C144"/>
    <mergeCell ref="D129:O129"/>
    <mergeCell ref="A39:A41"/>
    <mergeCell ref="B39:B41"/>
    <mergeCell ref="D39:D41"/>
    <mergeCell ref="C39:C41"/>
    <mergeCell ref="A79:A80"/>
  </mergeCells>
  <phoneticPr fontId="6" type="noConversion"/>
  <conditionalFormatting sqref="D133:O133 D123:O128">
    <cfRule type="cellIs" dxfId="3" priority="2" operator="greaterThan">
      <formula>1</formula>
    </cfRule>
  </conditionalFormatting>
  <conditionalFormatting sqref="B81:N94">
    <cfRule type="cellIs" dxfId="2" priority="1" operator="greater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P51"/>
  <sheetViews>
    <sheetView showGridLines="0" topLeftCell="A7" workbookViewId="0">
      <selection activeCell="T17" sqref="T17"/>
    </sheetView>
  </sheetViews>
  <sheetFormatPr defaultColWidth="10.6640625" defaultRowHeight="13.2" x14ac:dyDescent="0.25"/>
  <cols>
    <col min="1" max="1" width="5.77734375" style="44" customWidth="1"/>
    <col min="2" max="2" width="52.44140625" style="18" customWidth="1"/>
    <col min="3" max="11" width="10" style="18" customWidth="1"/>
    <col min="12" max="14" width="10" style="18" hidden="1" customWidth="1"/>
    <col min="15" max="15" width="10" style="18" customWidth="1"/>
    <col min="16" max="16384" width="10.6640625" style="18"/>
  </cols>
  <sheetData>
    <row r="1" spans="1:15" s="376" customFormat="1" ht="28.5" customHeight="1" x14ac:dyDescent="0.3">
      <c r="A1" s="387"/>
      <c r="B1" s="389" t="s">
        <v>163</v>
      </c>
    </row>
    <row r="2" spans="1:15" s="376" customFormat="1" ht="19.5" customHeight="1" x14ac:dyDescent="0.25">
      <c r="A2" s="388" t="s">
        <v>338</v>
      </c>
      <c r="B2" s="390" t="str">
        <f>'Книга допущений'!A2</f>
        <v>Парк мобильных домов</v>
      </c>
    </row>
    <row r="3" spans="1:15" s="376" customFormat="1" ht="15" customHeight="1" x14ac:dyDescent="0.25">
      <c r="A3" s="378"/>
      <c r="B3" s="379"/>
    </row>
    <row r="4" spans="1:15" s="12" customFormat="1" ht="9.75" customHeight="1" x14ac:dyDescent="0.25">
      <c r="A4" s="14"/>
      <c r="B4"/>
    </row>
    <row r="5" spans="1:15" s="32" customFormat="1" ht="15.6" x14ac:dyDescent="0.25">
      <c r="A5" s="281"/>
      <c r="B5" s="269"/>
    </row>
    <row r="6" spans="1:15" x14ac:dyDescent="0.25">
      <c r="A6" s="49" t="s">
        <v>504</v>
      </c>
      <c r="B6" s="7"/>
      <c r="C6" s="7"/>
      <c r="D6" s="7"/>
      <c r="E6" s="7"/>
      <c r="F6" s="7"/>
    </row>
    <row r="7" spans="1:15" x14ac:dyDescent="0.25">
      <c r="B7" s="7"/>
      <c r="C7" s="7"/>
      <c r="D7" s="7"/>
      <c r="E7" s="7"/>
      <c r="F7" s="7"/>
    </row>
    <row r="8" spans="1:15" ht="15.75" customHeight="1" x14ac:dyDescent="0.25">
      <c r="A8" s="488"/>
      <c r="B8" s="486" t="s">
        <v>392</v>
      </c>
      <c r="C8" s="345">
        <f>'Книга допущений'!B12</f>
        <v>2020</v>
      </c>
      <c r="D8" s="345">
        <f t="shared" ref="D8:N8" si="0">IF(MONTH(D9)=1,C8+1,C8)</f>
        <v>2020</v>
      </c>
      <c r="E8" s="345">
        <f t="shared" si="0"/>
        <v>2020</v>
      </c>
      <c r="F8" s="345">
        <f t="shared" si="0"/>
        <v>2021</v>
      </c>
      <c r="G8" s="345">
        <f t="shared" si="0"/>
        <v>2021</v>
      </c>
      <c r="H8" s="345">
        <f t="shared" si="0"/>
        <v>2021</v>
      </c>
      <c r="I8" s="345">
        <f t="shared" si="0"/>
        <v>2021</v>
      </c>
      <c r="J8" s="345">
        <f t="shared" si="0"/>
        <v>2021</v>
      </c>
      <c r="K8" s="345">
        <f t="shared" si="0"/>
        <v>2021</v>
      </c>
      <c r="L8" s="345">
        <f t="shared" si="0"/>
        <v>2021</v>
      </c>
      <c r="M8" s="345">
        <f t="shared" si="0"/>
        <v>2021</v>
      </c>
      <c r="N8" s="345">
        <f t="shared" si="0"/>
        <v>2021</v>
      </c>
      <c r="O8" s="487" t="s">
        <v>524</v>
      </c>
    </row>
    <row r="9" spans="1:15" ht="15.75" customHeight="1" x14ac:dyDescent="0.25">
      <c r="A9" s="489"/>
      <c r="B9" s="486"/>
      <c r="C9" s="326">
        <f>'Книга допущений'!B11</f>
        <v>44106</v>
      </c>
      <c r="D9" s="326">
        <f>C9+31</f>
        <v>44137</v>
      </c>
      <c r="E9" s="326">
        <f t="shared" ref="E9:N9" si="1">D9+31</f>
        <v>44168</v>
      </c>
      <c r="F9" s="326">
        <f t="shared" si="1"/>
        <v>44199</v>
      </c>
      <c r="G9" s="326">
        <f t="shared" si="1"/>
        <v>44230</v>
      </c>
      <c r="H9" s="326">
        <f t="shared" si="1"/>
        <v>44261</v>
      </c>
      <c r="I9" s="326">
        <f t="shared" si="1"/>
        <v>44292</v>
      </c>
      <c r="J9" s="326">
        <f t="shared" si="1"/>
        <v>44323</v>
      </c>
      <c r="K9" s="326">
        <f t="shared" si="1"/>
        <v>44354</v>
      </c>
      <c r="L9" s="326">
        <f t="shared" si="1"/>
        <v>44385</v>
      </c>
      <c r="M9" s="326">
        <f t="shared" si="1"/>
        <v>44416</v>
      </c>
      <c r="N9" s="326">
        <f t="shared" si="1"/>
        <v>44447</v>
      </c>
      <c r="O9" s="487"/>
    </row>
    <row r="10" spans="1:15" ht="12.75" customHeight="1" x14ac:dyDescent="0.25">
      <c r="A10" s="331">
        <v>1</v>
      </c>
      <c r="B10" s="332" t="s">
        <v>499</v>
      </c>
      <c r="C10" s="346">
        <f>'Книга допущений'!H70</f>
        <v>4044.8114880000003</v>
      </c>
      <c r="D10" s="346">
        <f>'Книга допущений'!I70</f>
        <v>4044.8114880000003</v>
      </c>
      <c r="E10" s="346">
        <f>'Книга допущений'!J70</f>
        <v>0</v>
      </c>
      <c r="F10" s="346">
        <f>'Книга допущений'!K70</f>
        <v>0</v>
      </c>
      <c r="G10" s="346">
        <f>'Книга допущений'!L70</f>
        <v>0</v>
      </c>
      <c r="H10" s="346">
        <f>'Книга допущений'!M70</f>
        <v>0</v>
      </c>
      <c r="I10" s="346">
        <f>'Книга допущений'!N70</f>
        <v>0</v>
      </c>
      <c r="J10" s="346">
        <f>'Книга допущений'!O70</f>
        <v>0</v>
      </c>
      <c r="K10" s="346">
        <f>'Книга допущений'!P70</f>
        <v>0</v>
      </c>
      <c r="L10" s="346">
        <f>'Книга допущений'!Q70</f>
        <v>0</v>
      </c>
      <c r="M10" s="346">
        <f>'Книга допущений'!R70</f>
        <v>0</v>
      </c>
      <c r="N10" s="346">
        <f>'Книга допущений'!S70</f>
        <v>0</v>
      </c>
      <c r="O10" s="347">
        <f>SUM(C10:N10)</f>
        <v>8089.6229760000006</v>
      </c>
    </row>
    <row r="11" spans="1:15" x14ac:dyDescent="0.25">
      <c r="A11" s="331">
        <v>2</v>
      </c>
      <c r="B11" s="332" t="str">
        <f>'Книга допущений'!A66</f>
        <v>Благоустройство</v>
      </c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7">
        <f t="shared" ref="O11:O27" si="2">SUM(C11:N11)</f>
        <v>0</v>
      </c>
    </row>
    <row r="12" spans="1:15" x14ac:dyDescent="0.25">
      <c r="A12" s="348" t="s">
        <v>390</v>
      </c>
      <c r="B12" s="337" t="str">
        <f>'Книга допущений'!A67</f>
        <v>Дороги/тропинки/парковки/гравий</v>
      </c>
      <c r="C12" s="421">
        <f>'Книга допущений'!H67</f>
        <v>0</v>
      </c>
      <c r="D12" s="421">
        <f>'Книга допущений'!I67</f>
        <v>0</v>
      </c>
      <c r="E12" s="421">
        <f>'Книга допущений'!J67</f>
        <v>0</v>
      </c>
      <c r="F12" s="421">
        <f>'Книга допущений'!K67</f>
        <v>0</v>
      </c>
      <c r="G12" s="421">
        <f>'Книга допущений'!L67</f>
        <v>1080</v>
      </c>
      <c r="H12" s="421">
        <f>'Книга допущений'!M67</f>
        <v>1080</v>
      </c>
      <c r="I12" s="421">
        <f>'Книга допущений'!N67</f>
        <v>1440</v>
      </c>
      <c r="J12" s="421">
        <f>'Книга допущений'!O67</f>
        <v>0</v>
      </c>
      <c r="K12" s="421">
        <f>'Книга допущений'!P67</f>
        <v>0</v>
      </c>
      <c r="L12" s="421">
        <f>'Книга допущений'!Q67</f>
        <v>0</v>
      </c>
      <c r="M12" s="421">
        <f>'Книга допущений'!R67</f>
        <v>0</v>
      </c>
      <c r="N12" s="421">
        <f>'Книга допущений'!S67</f>
        <v>0</v>
      </c>
      <c r="O12" s="347">
        <f t="shared" si="2"/>
        <v>3600</v>
      </c>
    </row>
    <row r="13" spans="1:15" x14ac:dyDescent="0.25">
      <c r="A13" s="348" t="s">
        <v>391</v>
      </c>
      <c r="B13" s="337" t="str">
        <f>'Книга допущений'!A68</f>
        <v>Парковая зона, озеленение, деревья</v>
      </c>
      <c r="C13" s="421">
        <f>'Книга допущений'!H68</f>
        <v>0</v>
      </c>
      <c r="D13" s="421">
        <f>'Книга допущений'!I68</f>
        <v>0</v>
      </c>
      <c r="E13" s="421">
        <f>'Книга допущений'!J68</f>
        <v>0</v>
      </c>
      <c r="F13" s="421">
        <f>'Книга допущений'!K68</f>
        <v>1200</v>
      </c>
      <c r="G13" s="421">
        <f>'Книга допущений'!L68</f>
        <v>1200</v>
      </c>
      <c r="H13" s="421">
        <f>'Книга допущений'!M68</f>
        <v>1600</v>
      </c>
      <c r="I13" s="421">
        <f>'Книга допущений'!N68</f>
        <v>0</v>
      </c>
      <c r="J13" s="421">
        <f>'Книга допущений'!O68</f>
        <v>0</v>
      </c>
      <c r="K13" s="421">
        <f>'Книга допущений'!P68</f>
        <v>0</v>
      </c>
      <c r="L13" s="421">
        <f>'Книга допущений'!Q68</f>
        <v>0</v>
      </c>
      <c r="M13" s="421">
        <f>'Книга допущений'!R68</f>
        <v>0</v>
      </c>
      <c r="N13" s="421">
        <f>'Книга допущений'!S68</f>
        <v>0</v>
      </c>
      <c r="O13" s="347">
        <f t="shared" si="2"/>
        <v>4000</v>
      </c>
    </row>
    <row r="14" spans="1:15" x14ac:dyDescent="0.25">
      <c r="A14" s="331">
        <v>3</v>
      </c>
      <c r="B14" s="335" t="s">
        <v>399</v>
      </c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7">
        <f t="shared" si="2"/>
        <v>0</v>
      </c>
    </row>
    <row r="15" spans="1:15" x14ac:dyDescent="0.25">
      <c r="A15" s="348" t="s">
        <v>348</v>
      </c>
      <c r="B15" s="338" t="s">
        <v>498</v>
      </c>
      <c r="C15" s="346">
        <f>'Книга допущений'!H69</f>
        <v>0</v>
      </c>
      <c r="D15" s="346">
        <f>'Книга допущений'!I69</f>
        <v>1213.4434464000001</v>
      </c>
      <c r="E15" s="346">
        <f>'Книга допущений'!J69</f>
        <v>1213.4434464000001</v>
      </c>
      <c r="F15" s="346">
        <f>'Книга допущений'!K69</f>
        <v>0</v>
      </c>
      <c r="G15" s="346">
        <f>'Книга допущений'!L69</f>
        <v>0</v>
      </c>
      <c r="H15" s="346">
        <f>'Книга допущений'!M69</f>
        <v>0</v>
      </c>
      <c r="I15" s="346">
        <f>'Книга допущений'!N69</f>
        <v>0</v>
      </c>
      <c r="J15" s="346">
        <f>'Книга допущений'!O69</f>
        <v>0</v>
      </c>
      <c r="K15" s="346">
        <f>'Книга допущений'!P69</f>
        <v>0</v>
      </c>
      <c r="L15" s="346">
        <f>'Книга допущений'!Q69</f>
        <v>0</v>
      </c>
      <c r="M15" s="346">
        <f>'Книга допущений'!R69</f>
        <v>0</v>
      </c>
      <c r="N15" s="346">
        <f>'Книга допущений'!S69</f>
        <v>0</v>
      </c>
      <c r="O15" s="347">
        <f t="shared" si="2"/>
        <v>2426.8868928000002</v>
      </c>
    </row>
    <row r="16" spans="1:15" x14ac:dyDescent="0.25">
      <c r="A16" s="348" t="s">
        <v>349</v>
      </c>
      <c r="B16" s="349" t="str">
        <f>'Книга допущений'!A44</f>
        <v>Гостевые домики</v>
      </c>
      <c r="C16" s="346">
        <f>'Книга допущений'!H44</f>
        <v>0</v>
      </c>
      <c r="D16" s="346">
        <f>'Книга допущений'!I44</f>
        <v>3499.7643600000001</v>
      </c>
      <c r="E16" s="346">
        <f>'Книга допущений'!J44</f>
        <v>12832.46932</v>
      </c>
      <c r="F16" s="346">
        <f>'Книга допущений'!K44</f>
        <v>8166.1168399999997</v>
      </c>
      <c r="G16" s="346">
        <f>'Книга допущений'!L44</f>
        <v>10499.293079999999</v>
      </c>
      <c r="H16" s="346">
        <f>'Книга допущений'!M44</f>
        <v>3499.7643600000001</v>
      </c>
      <c r="I16" s="346">
        <f>'Книга допущений'!N44</f>
        <v>8166.1168399999997</v>
      </c>
      <c r="J16" s="346">
        <f>'Книга допущений'!O44</f>
        <v>4666.3524799999996</v>
      </c>
      <c r="K16" s="346">
        <f>'Книга допущений'!P44</f>
        <v>4666.3524799999996</v>
      </c>
      <c r="L16" s="346">
        <f>'Книга допущений'!Q44</f>
        <v>0</v>
      </c>
      <c r="M16" s="346">
        <f>'Книга допущений'!R44</f>
        <v>0</v>
      </c>
      <c r="N16" s="346">
        <f>'Книга допущений'!S44</f>
        <v>0</v>
      </c>
      <c r="O16" s="347">
        <f t="shared" si="2"/>
        <v>55996.229760000002</v>
      </c>
    </row>
    <row r="17" spans="1:16" x14ac:dyDescent="0.25">
      <c r="A17" s="348" t="s">
        <v>350</v>
      </c>
      <c r="B17" s="349" t="str">
        <f>'Книга допущений'!A47</f>
        <v>Администрация</v>
      </c>
      <c r="C17" s="346">
        <f>'Книга допущений'!H47</f>
        <v>0</v>
      </c>
      <c r="D17" s="346">
        <f>'Книга допущений'!I47</f>
        <v>2500</v>
      </c>
      <c r="E17" s="346">
        <f>'Книга допущений'!J47</f>
        <v>0</v>
      </c>
      <c r="F17" s="346">
        <f>'Книга допущений'!K47</f>
        <v>0</v>
      </c>
      <c r="G17" s="346">
        <f>'Книга допущений'!L47</f>
        <v>0</v>
      </c>
      <c r="H17" s="346">
        <f>'Книга допущений'!M47</f>
        <v>0</v>
      </c>
      <c r="I17" s="346">
        <f>'Книга допущений'!N47</f>
        <v>0</v>
      </c>
      <c r="J17" s="346">
        <f>'Книга допущений'!O47</f>
        <v>0</v>
      </c>
      <c r="K17" s="346">
        <f>'Книга допущений'!P47</f>
        <v>0</v>
      </c>
      <c r="L17" s="346">
        <f>'Книга допущений'!Q47</f>
        <v>0</v>
      </c>
      <c r="M17" s="346">
        <f>'Книга допущений'!R47</f>
        <v>0</v>
      </c>
      <c r="N17" s="346">
        <f>'Книга допущений'!S47</f>
        <v>0</v>
      </c>
      <c r="O17" s="347">
        <f t="shared" si="2"/>
        <v>2500</v>
      </c>
    </row>
    <row r="18" spans="1:16" x14ac:dyDescent="0.25">
      <c r="A18" s="348" t="s">
        <v>515</v>
      </c>
      <c r="B18" s="349" t="str">
        <f>'Книга допущений'!A50</f>
        <v>Склад</v>
      </c>
      <c r="C18" s="346">
        <f>'Книга допущений'!H50</f>
        <v>0</v>
      </c>
      <c r="D18" s="346">
        <f>'Книга допущений'!I50</f>
        <v>0</v>
      </c>
      <c r="E18" s="346">
        <f>'Книга допущений'!J50</f>
        <v>400</v>
      </c>
      <c r="F18" s="346">
        <f>'Книга допущений'!K50</f>
        <v>0</v>
      </c>
      <c r="G18" s="346">
        <f>'Книга допущений'!L50</f>
        <v>0</v>
      </c>
      <c r="H18" s="346">
        <f>'Книга допущений'!M50</f>
        <v>0</v>
      </c>
      <c r="I18" s="346">
        <f>'Книга допущений'!N50</f>
        <v>0</v>
      </c>
      <c r="J18" s="346">
        <f>'Книга допущений'!O50</f>
        <v>0</v>
      </c>
      <c r="K18" s="346">
        <f>'Книга допущений'!P50</f>
        <v>0</v>
      </c>
      <c r="L18" s="346">
        <f>'Книга допущений'!Q50</f>
        <v>0</v>
      </c>
      <c r="M18" s="346">
        <f>'Книга допущений'!R50</f>
        <v>0</v>
      </c>
      <c r="N18" s="346">
        <f>'Книга допущений'!S50</f>
        <v>0</v>
      </c>
      <c r="O18" s="347">
        <f t="shared" si="2"/>
        <v>400</v>
      </c>
    </row>
    <row r="19" spans="1:16" x14ac:dyDescent="0.25">
      <c r="A19" s="348" t="s">
        <v>516</v>
      </c>
      <c r="B19" s="349" t="str">
        <f>'Книга допущений'!A53</f>
        <v>Бани</v>
      </c>
      <c r="C19" s="346">
        <f>'Книга допущений'!H53</f>
        <v>0</v>
      </c>
      <c r="D19" s="346">
        <f>'Книга допущений'!I53</f>
        <v>0</v>
      </c>
      <c r="E19" s="346">
        <f>'Книга допущений'!J53</f>
        <v>0</v>
      </c>
      <c r="F19" s="346">
        <f>'Книга допущений'!K53</f>
        <v>0</v>
      </c>
      <c r="G19" s="346">
        <f>'Книга допущений'!L53</f>
        <v>0</v>
      </c>
      <c r="H19" s="346">
        <f>'Книга допущений'!M53</f>
        <v>250</v>
      </c>
      <c r="I19" s="346">
        <f>'Книга допущений'!N53</f>
        <v>250</v>
      </c>
      <c r="J19" s="346">
        <f>'Книга допущений'!O53</f>
        <v>500</v>
      </c>
      <c r="K19" s="346">
        <f>'Книга допущений'!P53</f>
        <v>0</v>
      </c>
      <c r="L19" s="346">
        <f>'Книга допущений'!Q53</f>
        <v>0</v>
      </c>
      <c r="M19" s="346">
        <f>'Книга допущений'!R53</f>
        <v>0</v>
      </c>
      <c r="N19" s="346">
        <f>'Книга допущений'!S53</f>
        <v>0</v>
      </c>
      <c r="O19" s="347">
        <f t="shared" si="2"/>
        <v>1000</v>
      </c>
    </row>
    <row r="20" spans="1:16" x14ac:dyDescent="0.25">
      <c r="A20" s="348" t="s">
        <v>517</v>
      </c>
      <c r="B20" s="349" t="str">
        <f>'Книга допущений'!A56</f>
        <v>Клуб с рестораном</v>
      </c>
      <c r="C20" s="346">
        <f>'Книга допущений'!H56</f>
        <v>0</v>
      </c>
      <c r="D20" s="346">
        <f>'Книга допущений'!I56</f>
        <v>0</v>
      </c>
      <c r="E20" s="346">
        <f>'Книга допущений'!J56</f>
        <v>0</v>
      </c>
      <c r="F20" s="346">
        <f>'Книга допущений'!K56</f>
        <v>0</v>
      </c>
      <c r="G20" s="346">
        <f>'Книга допущений'!L56</f>
        <v>6000</v>
      </c>
      <c r="H20" s="346">
        <f>'Книга допущений'!M56</f>
        <v>6000</v>
      </c>
      <c r="I20" s="346">
        <f>'Книга допущений'!N56</f>
        <v>0</v>
      </c>
      <c r="J20" s="346">
        <f>'Книга допущений'!O56</f>
        <v>0</v>
      </c>
      <c r="K20" s="346">
        <f>'Книга допущений'!P56</f>
        <v>0</v>
      </c>
      <c r="L20" s="346">
        <f>'Книга допущений'!Q56</f>
        <v>0</v>
      </c>
      <c r="M20" s="346">
        <f>'Книга допущений'!R56</f>
        <v>0</v>
      </c>
      <c r="N20" s="346">
        <f>'Книга допущений'!S56</f>
        <v>0</v>
      </c>
      <c r="O20" s="347">
        <f t="shared" si="2"/>
        <v>12000</v>
      </c>
    </row>
    <row r="21" spans="1:16" x14ac:dyDescent="0.25">
      <c r="A21" s="348" t="s">
        <v>518</v>
      </c>
      <c r="B21" s="349" t="str">
        <f>'Книга допущений'!A60</f>
        <v>Workout площадка</v>
      </c>
      <c r="C21" s="346">
        <f>'Книга допущений'!H60</f>
        <v>0</v>
      </c>
      <c r="D21" s="346">
        <f>'Книга допущений'!I60</f>
        <v>0</v>
      </c>
      <c r="E21" s="346">
        <f>'Книга допущений'!J60</f>
        <v>0</v>
      </c>
      <c r="F21" s="346">
        <f>'Книга допущений'!K60</f>
        <v>0</v>
      </c>
      <c r="G21" s="346">
        <f>'Книга допущений'!L60</f>
        <v>0</v>
      </c>
      <c r="H21" s="346">
        <f>'Книга допущений'!M60</f>
        <v>0</v>
      </c>
      <c r="I21" s="346">
        <f>'Книга допущений'!N60</f>
        <v>0</v>
      </c>
      <c r="J21" s="346">
        <f>'Книга допущений'!O60</f>
        <v>200</v>
      </c>
      <c r="K21" s="346">
        <f>'Книга допущений'!P60</f>
        <v>0</v>
      </c>
      <c r="L21" s="346">
        <f>'Книга допущений'!Q60</f>
        <v>0</v>
      </c>
      <c r="M21" s="346">
        <f>'Книга допущений'!R60</f>
        <v>0</v>
      </c>
      <c r="N21" s="346">
        <f>'Книга допущений'!S60</f>
        <v>0</v>
      </c>
      <c r="O21" s="347">
        <f t="shared" si="2"/>
        <v>200</v>
      </c>
    </row>
    <row r="22" spans="1:16" x14ac:dyDescent="0.25">
      <c r="A22" s="348" t="s">
        <v>519</v>
      </c>
      <c r="B22" s="349" t="str">
        <f>'Книга допущений'!A61</f>
        <v>Детская площадка</v>
      </c>
      <c r="C22" s="346">
        <f>'Книга допущений'!H61</f>
        <v>0</v>
      </c>
      <c r="D22" s="346">
        <f>'Книга допущений'!I61</f>
        <v>0</v>
      </c>
      <c r="E22" s="346">
        <f>'Книга допущений'!J61</f>
        <v>0</v>
      </c>
      <c r="F22" s="346">
        <f>'Книга допущений'!K61</f>
        <v>0</v>
      </c>
      <c r="G22" s="346">
        <f>'Книга допущений'!L61</f>
        <v>0</v>
      </c>
      <c r="H22" s="346">
        <f>'Книга допущений'!M61</f>
        <v>0</v>
      </c>
      <c r="I22" s="346">
        <f>'Книга допущений'!N61</f>
        <v>0</v>
      </c>
      <c r="J22" s="346">
        <f>'Книга допущений'!O61</f>
        <v>0</v>
      </c>
      <c r="K22" s="346">
        <f>'Книга допущений'!P61</f>
        <v>100</v>
      </c>
      <c r="L22" s="346">
        <f>'Книга допущений'!Q61</f>
        <v>0</v>
      </c>
      <c r="M22" s="346">
        <f>'Книга допущений'!R61</f>
        <v>0</v>
      </c>
      <c r="N22" s="346">
        <f>'Книга допущений'!S61</f>
        <v>0</v>
      </c>
      <c r="O22" s="347">
        <f t="shared" si="2"/>
        <v>100</v>
      </c>
    </row>
    <row r="23" spans="1:16" x14ac:dyDescent="0.25">
      <c r="A23" s="348" t="s">
        <v>520</v>
      </c>
      <c r="B23" s="349" t="str">
        <f>'Книга допущений'!A62</f>
        <v>Барбекю-парк</v>
      </c>
      <c r="C23" s="346">
        <f>'Книга допущений'!H62</f>
        <v>0</v>
      </c>
      <c r="D23" s="346">
        <f>'Книга допущений'!I62</f>
        <v>0</v>
      </c>
      <c r="E23" s="346">
        <f>'Книга допущений'!J62</f>
        <v>0</v>
      </c>
      <c r="F23" s="346">
        <f>'Книга допущений'!K62</f>
        <v>0</v>
      </c>
      <c r="G23" s="346">
        <f>'Книга допущений'!L62</f>
        <v>0</v>
      </c>
      <c r="H23" s="346">
        <f>'Книга допущений'!M62</f>
        <v>0</v>
      </c>
      <c r="I23" s="346">
        <f>'Книга допущений'!N62</f>
        <v>0</v>
      </c>
      <c r="J23" s="346">
        <f>'Книга допущений'!O62</f>
        <v>400</v>
      </c>
      <c r="K23" s="346">
        <f>'Книга допущений'!P62</f>
        <v>0</v>
      </c>
      <c r="L23" s="346">
        <f>'Книга допущений'!Q62</f>
        <v>0</v>
      </c>
      <c r="M23" s="346">
        <f>'Книга допущений'!R62</f>
        <v>0</v>
      </c>
      <c r="N23" s="346">
        <f>'Книга допущений'!S62</f>
        <v>0</v>
      </c>
      <c r="O23" s="347">
        <f t="shared" si="2"/>
        <v>400</v>
      </c>
    </row>
    <row r="24" spans="1:16" x14ac:dyDescent="0.25">
      <c r="A24" s="348" t="s">
        <v>521</v>
      </c>
      <c r="B24" s="349" t="str">
        <f>'Книга допущений'!A63</f>
        <v>Костровая зона</v>
      </c>
      <c r="C24" s="346">
        <f>'Книга допущений'!H63</f>
        <v>0</v>
      </c>
      <c r="D24" s="346">
        <f>'Книга допущений'!I63</f>
        <v>0</v>
      </c>
      <c r="E24" s="346">
        <f>'Книга допущений'!J63</f>
        <v>0</v>
      </c>
      <c r="F24" s="346">
        <f>'Книга допущений'!K63</f>
        <v>0</v>
      </c>
      <c r="G24" s="346">
        <f>'Книга допущений'!L63</f>
        <v>0</v>
      </c>
      <c r="H24" s="346">
        <f>'Книга допущений'!M63</f>
        <v>0</v>
      </c>
      <c r="I24" s="346">
        <f>'Книга допущений'!N63</f>
        <v>0</v>
      </c>
      <c r="J24" s="346">
        <f>'Книга допущений'!O63</f>
        <v>0</v>
      </c>
      <c r="K24" s="346">
        <f>'Книга допущений'!P63</f>
        <v>50</v>
      </c>
      <c r="L24" s="346">
        <f>'Книга допущений'!Q63</f>
        <v>0</v>
      </c>
      <c r="M24" s="346">
        <f>'Книга допущений'!R63</f>
        <v>0</v>
      </c>
      <c r="N24" s="346">
        <f>'Книга допущений'!S63</f>
        <v>0</v>
      </c>
      <c r="O24" s="347">
        <f t="shared" si="2"/>
        <v>50</v>
      </c>
    </row>
    <row r="25" spans="1:16" x14ac:dyDescent="0.25">
      <c r="A25" s="348" t="s">
        <v>522</v>
      </c>
      <c r="B25" s="349" t="str">
        <f>'Книга допущений'!A64</f>
        <v>Тент-беседка (кафе)</v>
      </c>
      <c r="C25" s="346">
        <f>'Книга допущений'!H64</f>
        <v>0</v>
      </c>
      <c r="D25" s="346">
        <f>'Книга допущений'!I64</f>
        <v>0</v>
      </c>
      <c r="E25" s="346">
        <f>'Книга допущений'!J64</f>
        <v>0</v>
      </c>
      <c r="F25" s="346">
        <f>'Книга допущений'!K64</f>
        <v>250</v>
      </c>
      <c r="G25" s="346">
        <f>'Книга допущений'!L64</f>
        <v>0</v>
      </c>
      <c r="H25" s="346">
        <f>'Книга допущений'!M64</f>
        <v>0</v>
      </c>
      <c r="I25" s="346">
        <f>'Книга допущений'!N64</f>
        <v>0</v>
      </c>
      <c r="J25" s="346">
        <f>'Книга допущений'!O64</f>
        <v>0</v>
      </c>
      <c r="K25" s="346">
        <f>'Книга допущений'!P64</f>
        <v>0</v>
      </c>
      <c r="L25" s="346">
        <f>'Книга допущений'!Q64</f>
        <v>0</v>
      </c>
      <c r="M25" s="346">
        <f>'Книга допущений'!R64</f>
        <v>0</v>
      </c>
      <c r="N25" s="346">
        <f>'Книга допущений'!S64</f>
        <v>0</v>
      </c>
      <c r="O25" s="347">
        <f t="shared" si="2"/>
        <v>250</v>
      </c>
    </row>
    <row r="26" spans="1:16" x14ac:dyDescent="0.25">
      <c r="A26" s="348" t="s">
        <v>523</v>
      </c>
      <c r="B26" s="349" t="str">
        <f>'Книга допущений'!A65</f>
        <v>Прокат/байкшеринг</v>
      </c>
      <c r="C26" s="346">
        <f>'Книга допущений'!H65</f>
        <v>0</v>
      </c>
      <c r="D26" s="346">
        <f>'Книга допущений'!I65</f>
        <v>0</v>
      </c>
      <c r="E26" s="346">
        <f>'Книга допущений'!J65</f>
        <v>400</v>
      </c>
      <c r="F26" s="346">
        <f>'Книга допущений'!K65</f>
        <v>0</v>
      </c>
      <c r="G26" s="346">
        <f>'Книга допущений'!L65</f>
        <v>0</v>
      </c>
      <c r="H26" s="346">
        <f>'Книга допущений'!M65</f>
        <v>0</v>
      </c>
      <c r="I26" s="346">
        <f>'Книга допущений'!N65</f>
        <v>0</v>
      </c>
      <c r="J26" s="346">
        <f>'Книга допущений'!O65</f>
        <v>0</v>
      </c>
      <c r="K26" s="346">
        <f>'Книга допущений'!P65</f>
        <v>0</v>
      </c>
      <c r="L26" s="346">
        <f>'Книга допущений'!Q65</f>
        <v>0</v>
      </c>
      <c r="M26" s="346">
        <f>'Книга допущений'!R65</f>
        <v>0</v>
      </c>
      <c r="N26" s="346">
        <f>'Книга допущений'!S65</f>
        <v>0</v>
      </c>
      <c r="O26" s="347">
        <f t="shared" si="2"/>
        <v>400</v>
      </c>
    </row>
    <row r="27" spans="1:16" x14ac:dyDescent="0.25">
      <c r="A27" s="348" t="s">
        <v>596</v>
      </c>
      <c r="B27" s="332" t="s">
        <v>595</v>
      </c>
      <c r="C27" s="343">
        <v>0</v>
      </c>
      <c r="D27" s="343">
        <v>0</v>
      </c>
      <c r="E27" s="343">
        <v>0</v>
      </c>
      <c r="F27" s="343">
        <v>0</v>
      </c>
      <c r="G27" s="343">
        <v>0</v>
      </c>
      <c r="H27" s="343">
        <v>0</v>
      </c>
      <c r="I27" s="343">
        <v>0</v>
      </c>
      <c r="J27" s="343">
        <v>0</v>
      </c>
      <c r="K27" s="463">
        <v>0</v>
      </c>
      <c r="L27" s="343">
        <v>0</v>
      </c>
      <c r="M27" s="343">
        <v>0</v>
      </c>
      <c r="N27" s="346">
        <f>'Книга допущений'!S66</f>
        <v>0</v>
      </c>
      <c r="O27" s="347">
        <f t="shared" si="2"/>
        <v>0</v>
      </c>
    </row>
    <row r="28" spans="1:16" x14ac:dyDescent="0.25">
      <c r="A28" s="350"/>
      <c r="B28" s="351" t="s">
        <v>44</v>
      </c>
      <c r="C28" s="352">
        <f>SUM(C10:C27)</f>
        <v>4044.8114880000003</v>
      </c>
      <c r="D28" s="352">
        <f t="shared" ref="D28:O28" si="3">SUM(D10:D27)</f>
        <v>11258.019294400001</v>
      </c>
      <c r="E28" s="352">
        <f t="shared" si="3"/>
        <v>14845.912766400001</v>
      </c>
      <c r="F28" s="352">
        <f t="shared" si="3"/>
        <v>9616.1168399999988</v>
      </c>
      <c r="G28" s="352">
        <f t="shared" si="3"/>
        <v>18779.293079999999</v>
      </c>
      <c r="H28" s="352">
        <f t="shared" si="3"/>
        <v>12429.764360000001</v>
      </c>
      <c r="I28" s="352">
        <f t="shared" si="3"/>
        <v>9856.1168399999988</v>
      </c>
      <c r="J28" s="352">
        <f t="shared" si="3"/>
        <v>5766.3524799999996</v>
      </c>
      <c r="K28" s="352">
        <f t="shared" si="3"/>
        <v>4816.3524799999996</v>
      </c>
      <c r="L28" s="352">
        <f t="shared" si="3"/>
        <v>0</v>
      </c>
      <c r="M28" s="352">
        <f t="shared" si="3"/>
        <v>0</v>
      </c>
      <c r="N28" s="352">
        <f t="shared" si="3"/>
        <v>0</v>
      </c>
      <c r="O28" s="352">
        <f t="shared" si="3"/>
        <v>91412.739628800002</v>
      </c>
      <c r="P28" s="39"/>
    </row>
    <row r="51" spans="2:2" x14ac:dyDescent="0.25">
      <c r="B51" s="18" t="s">
        <v>64</v>
      </c>
    </row>
  </sheetData>
  <mergeCells count="3">
    <mergeCell ref="B8:B9"/>
    <mergeCell ref="O8:O9"/>
    <mergeCell ref="A8:A9"/>
  </mergeCells>
  <phoneticPr fontId="6" type="noConversion"/>
  <conditionalFormatting sqref="C10:N27">
    <cfRule type="cellIs" dxfId="1" priority="2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B73"/>
  <sheetViews>
    <sheetView showGridLines="0" zoomScaleNormal="100" workbookViewId="0">
      <selection activeCell="C34" sqref="C34"/>
    </sheetView>
  </sheetViews>
  <sheetFormatPr defaultColWidth="10.6640625" defaultRowHeight="13.2" x14ac:dyDescent="0.25"/>
  <cols>
    <col min="1" max="1" width="5.77734375" style="18" customWidth="1"/>
    <col min="2" max="2" width="62.6640625" style="18" customWidth="1"/>
    <col min="3" max="3" width="18.109375" style="38" customWidth="1"/>
    <col min="4" max="4" width="16.77734375" style="38" customWidth="1"/>
    <col min="5" max="5" width="15.77734375" style="38" customWidth="1"/>
    <col min="6" max="7" width="17.6640625" style="38" customWidth="1"/>
    <col min="8" max="8" width="14" style="38" customWidth="1"/>
    <col min="9" max="9" width="14" style="57" customWidth="1"/>
    <col min="10" max="10" width="11" style="57" customWidth="1"/>
    <col min="11" max="16" width="11" style="18" customWidth="1"/>
    <col min="17" max="17" width="10.6640625" style="18" customWidth="1"/>
    <col min="18" max="16384" width="10.6640625" style="18"/>
  </cols>
  <sheetData>
    <row r="1" spans="1:17" s="376" customFormat="1" ht="28.5" customHeight="1" x14ac:dyDescent="0.3">
      <c r="A1" s="387"/>
      <c r="B1" s="389" t="s">
        <v>163</v>
      </c>
    </row>
    <row r="2" spans="1:17" s="376" customFormat="1" ht="19.5" customHeight="1" x14ac:dyDescent="0.25">
      <c r="A2" s="388" t="s">
        <v>338</v>
      </c>
      <c r="B2" s="390" t="str">
        <f>'Книга допущений'!A2</f>
        <v>Парк мобильных домов</v>
      </c>
    </row>
    <row r="3" spans="1:17" s="376" customFormat="1" ht="15" customHeight="1" x14ac:dyDescent="0.25">
      <c r="A3" s="378"/>
      <c r="B3" s="379"/>
    </row>
    <row r="4" spans="1:17" s="12" customFormat="1" ht="21.75" customHeight="1" x14ac:dyDescent="0.25">
      <c r="A4" s="14"/>
      <c r="B4"/>
    </row>
    <row r="5" spans="1:17" x14ac:dyDescent="0.25">
      <c r="A5" s="7" t="s">
        <v>45</v>
      </c>
      <c r="B5" s="7"/>
    </row>
    <row r="6" spans="1:17" x14ac:dyDescent="0.25">
      <c r="B6" s="7"/>
      <c r="H6" s="78"/>
    </row>
    <row r="7" spans="1:17" x14ac:dyDescent="0.25">
      <c r="A7" s="7" t="s">
        <v>46</v>
      </c>
      <c r="B7" s="7"/>
      <c r="D7" s="40"/>
      <c r="I7" s="79"/>
      <c r="J7" s="38"/>
    </row>
    <row r="8" spans="1:17" ht="15" customHeight="1" x14ac:dyDescent="0.25">
      <c r="A8" s="492" t="s">
        <v>47</v>
      </c>
      <c r="B8" s="474" t="s">
        <v>343</v>
      </c>
      <c r="C8" s="474" t="s">
        <v>347</v>
      </c>
      <c r="D8" s="490" t="s">
        <v>48</v>
      </c>
      <c r="E8" s="491"/>
      <c r="F8" s="345">
        <f>'Книга допущений'!B12</f>
        <v>2020</v>
      </c>
      <c r="G8" s="345">
        <f t="shared" ref="G8:Q8" si="0">IF(MONTH(G9)=1,F8+1,F8)</f>
        <v>2020</v>
      </c>
      <c r="H8" s="345">
        <f t="shared" si="0"/>
        <v>2020</v>
      </c>
      <c r="I8" s="345">
        <f t="shared" si="0"/>
        <v>2021</v>
      </c>
      <c r="J8" s="345">
        <f t="shared" si="0"/>
        <v>2021</v>
      </c>
      <c r="K8" s="345">
        <f t="shared" si="0"/>
        <v>2021</v>
      </c>
      <c r="L8" s="345">
        <f t="shared" si="0"/>
        <v>2021</v>
      </c>
      <c r="M8" s="345">
        <f t="shared" si="0"/>
        <v>2021</v>
      </c>
      <c r="N8" s="345">
        <f t="shared" si="0"/>
        <v>2021</v>
      </c>
      <c r="O8" s="345">
        <f t="shared" si="0"/>
        <v>2021</v>
      </c>
      <c r="P8" s="345">
        <f t="shared" si="0"/>
        <v>2021</v>
      </c>
      <c r="Q8" s="345">
        <f t="shared" si="0"/>
        <v>2021</v>
      </c>
    </row>
    <row r="9" spans="1:17" ht="26.25" customHeight="1" x14ac:dyDescent="0.25">
      <c r="A9" s="493"/>
      <c r="B9" s="475"/>
      <c r="C9" s="475"/>
      <c r="D9" s="242" t="s">
        <v>43</v>
      </c>
      <c r="E9" s="242" t="s">
        <v>344</v>
      </c>
      <c r="F9" s="326">
        <f>'Книга допущений'!B11</f>
        <v>44106</v>
      </c>
      <c r="G9" s="326">
        <f>F9+31</f>
        <v>44137</v>
      </c>
      <c r="H9" s="326">
        <f t="shared" ref="H9:Q9" si="1">G9+31</f>
        <v>44168</v>
      </c>
      <c r="I9" s="326">
        <f t="shared" si="1"/>
        <v>44199</v>
      </c>
      <c r="J9" s="326">
        <f t="shared" si="1"/>
        <v>44230</v>
      </c>
      <c r="K9" s="326">
        <f t="shared" si="1"/>
        <v>44261</v>
      </c>
      <c r="L9" s="326">
        <f t="shared" si="1"/>
        <v>44292</v>
      </c>
      <c r="M9" s="326">
        <f t="shared" si="1"/>
        <v>44323</v>
      </c>
      <c r="N9" s="326">
        <f t="shared" si="1"/>
        <v>44354</v>
      </c>
      <c r="O9" s="326">
        <f t="shared" si="1"/>
        <v>44385</v>
      </c>
      <c r="P9" s="326">
        <f t="shared" si="1"/>
        <v>44416</v>
      </c>
      <c r="Q9" s="326">
        <f t="shared" si="1"/>
        <v>44447</v>
      </c>
    </row>
    <row r="10" spans="1:17" ht="15" customHeight="1" x14ac:dyDescent="0.25">
      <c r="A10" s="353">
        <v>1</v>
      </c>
      <c r="B10" s="321" t="str">
        <f>'Книга допущений'!A42</f>
        <v>Покупка доли в бизнесе</v>
      </c>
      <c r="C10" s="354">
        <f>'Книга допущений'!D42</f>
        <v>40000</v>
      </c>
      <c r="D10" s="354">
        <f t="shared" ref="D10:Q11" si="2">SUM(D11:D22)</f>
        <v>0</v>
      </c>
      <c r="E10" s="354">
        <f>C10</f>
        <v>40000</v>
      </c>
      <c r="F10" s="354">
        <f>C10</f>
        <v>40000</v>
      </c>
      <c r="G10" s="354">
        <v>0</v>
      </c>
      <c r="H10" s="354">
        <v>0</v>
      </c>
      <c r="I10" s="354">
        <v>0</v>
      </c>
      <c r="J10" s="354">
        <v>0</v>
      </c>
      <c r="K10" s="354">
        <v>0</v>
      </c>
      <c r="L10" s="354">
        <v>0</v>
      </c>
      <c r="M10" s="354">
        <v>0</v>
      </c>
      <c r="N10" s="354">
        <v>0</v>
      </c>
      <c r="O10" s="354">
        <v>0</v>
      </c>
      <c r="P10" s="354">
        <v>0</v>
      </c>
      <c r="Q10" s="354">
        <v>0</v>
      </c>
    </row>
    <row r="11" spans="1:17" ht="13.5" customHeight="1" x14ac:dyDescent="0.25">
      <c r="A11" s="353">
        <v>2</v>
      </c>
      <c r="B11" s="321" t="str">
        <f>'Календарный план'!B14</f>
        <v>Строительство</v>
      </c>
      <c r="C11" s="354">
        <f>SUM(C12:C23)</f>
        <v>75723.116652800003</v>
      </c>
      <c r="D11" s="354">
        <f t="shared" si="2"/>
        <v>0</v>
      </c>
      <c r="E11" s="354">
        <f t="shared" si="2"/>
        <v>75723.116652800003</v>
      </c>
      <c r="F11" s="354">
        <f t="shared" si="2"/>
        <v>0</v>
      </c>
      <c r="G11" s="354">
        <f t="shared" si="2"/>
        <v>7213.2078063999998</v>
      </c>
      <c r="H11" s="354">
        <f t="shared" si="2"/>
        <v>14845.912766400001</v>
      </c>
      <c r="I11" s="354">
        <f t="shared" si="2"/>
        <v>8416.1168399999988</v>
      </c>
      <c r="J11" s="354">
        <f t="shared" si="2"/>
        <v>16499.293079999999</v>
      </c>
      <c r="K11" s="354">
        <f t="shared" si="2"/>
        <v>9749.764360000001</v>
      </c>
      <c r="L11" s="354">
        <f t="shared" si="2"/>
        <v>8416.1168399999988</v>
      </c>
      <c r="M11" s="354">
        <f t="shared" si="2"/>
        <v>5766.3524799999996</v>
      </c>
      <c r="N11" s="354">
        <f t="shared" si="2"/>
        <v>4816.3524799999996</v>
      </c>
      <c r="O11" s="354">
        <f t="shared" si="2"/>
        <v>0</v>
      </c>
      <c r="P11" s="354">
        <f t="shared" si="2"/>
        <v>0</v>
      </c>
      <c r="Q11" s="354">
        <f t="shared" si="2"/>
        <v>0</v>
      </c>
    </row>
    <row r="12" spans="1:17" ht="13.5" customHeight="1" x14ac:dyDescent="0.25">
      <c r="A12" s="138" t="s">
        <v>390</v>
      </c>
      <c r="B12" s="344" t="str">
        <f>'Календарный план'!B15</f>
        <v>Инженерные сети</v>
      </c>
      <c r="C12" s="122">
        <f>'Календарный план'!O15*(1+Риски!$B$9)</f>
        <v>2426.8868928000002</v>
      </c>
      <c r="D12" s="122">
        <v>0</v>
      </c>
      <c r="E12" s="122">
        <f t="shared" ref="E12:E28" si="3">C12-D12</f>
        <v>2426.8868928000002</v>
      </c>
      <c r="F12" s="122">
        <f>'Календарный план'!C15</f>
        <v>0</v>
      </c>
      <c r="G12" s="122">
        <f>'Календарный план'!D15</f>
        <v>1213.4434464000001</v>
      </c>
      <c r="H12" s="122">
        <f>'Календарный план'!E15</f>
        <v>1213.4434464000001</v>
      </c>
      <c r="I12" s="122">
        <f>'Календарный план'!F15</f>
        <v>0</v>
      </c>
      <c r="J12" s="122">
        <f>'Календарный план'!G15</f>
        <v>0</v>
      </c>
      <c r="K12" s="122">
        <f>'Календарный план'!H15</f>
        <v>0</v>
      </c>
      <c r="L12" s="122">
        <f>'Календарный план'!I15</f>
        <v>0</v>
      </c>
      <c r="M12" s="122">
        <f>'Календарный план'!J15</f>
        <v>0</v>
      </c>
      <c r="N12" s="122">
        <f>'Календарный план'!K15</f>
        <v>0</v>
      </c>
      <c r="O12" s="122">
        <f>'Календарный план'!L15</f>
        <v>0</v>
      </c>
      <c r="P12" s="122">
        <f>'Календарный план'!M15</f>
        <v>0</v>
      </c>
      <c r="Q12" s="122">
        <f>'Календарный план'!N15</f>
        <v>0</v>
      </c>
    </row>
    <row r="13" spans="1:17" ht="13.5" customHeight="1" x14ac:dyDescent="0.25">
      <c r="A13" s="138" t="s">
        <v>391</v>
      </c>
      <c r="B13" s="344" t="str">
        <f>'Календарный план'!B16</f>
        <v>Гостевые домики</v>
      </c>
      <c r="C13" s="122">
        <f>'Календарный план'!O16*(1+Риски!$B$9)</f>
        <v>55996.229760000002</v>
      </c>
      <c r="D13" s="122">
        <v>0</v>
      </c>
      <c r="E13" s="122">
        <f t="shared" si="3"/>
        <v>55996.229760000002</v>
      </c>
      <c r="F13" s="122">
        <f>'Календарный план'!C16</f>
        <v>0</v>
      </c>
      <c r="G13" s="122">
        <f>'Календарный план'!D16</f>
        <v>3499.7643600000001</v>
      </c>
      <c r="H13" s="122">
        <f>'Календарный план'!E16</f>
        <v>12832.46932</v>
      </c>
      <c r="I13" s="122">
        <f>'Календарный план'!F16</f>
        <v>8166.1168399999997</v>
      </c>
      <c r="J13" s="122">
        <f>'Календарный план'!G16</f>
        <v>10499.293079999999</v>
      </c>
      <c r="K13" s="122">
        <f>'Календарный план'!H16</f>
        <v>3499.7643600000001</v>
      </c>
      <c r="L13" s="122">
        <f>'Календарный план'!I16</f>
        <v>8166.1168399999997</v>
      </c>
      <c r="M13" s="122">
        <f>'Календарный план'!J16</f>
        <v>4666.3524799999996</v>
      </c>
      <c r="N13" s="122">
        <f>'Календарный план'!K16</f>
        <v>4666.3524799999996</v>
      </c>
      <c r="O13" s="122">
        <f>'Календарный план'!L16</f>
        <v>0</v>
      </c>
      <c r="P13" s="122">
        <f>'Календарный план'!M16</f>
        <v>0</v>
      </c>
      <c r="Q13" s="122">
        <f>'Календарный план'!N16</f>
        <v>0</v>
      </c>
    </row>
    <row r="14" spans="1:17" ht="13.5" customHeight="1" x14ac:dyDescent="0.25">
      <c r="A14" s="138" t="s">
        <v>625</v>
      </c>
      <c r="B14" s="344" t="str">
        <f>'Календарный план'!B17</f>
        <v>Администрация</v>
      </c>
      <c r="C14" s="122">
        <f>'Календарный план'!O17*(1+Риски!$B$9)</f>
        <v>2500</v>
      </c>
      <c r="D14" s="122">
        <v>0</v>
      </c>
      <c r="E14" s="122">
        <f t="shared" si="3"/>
        <v>2500</v>
      </c>
      <c r="F14" s="122">
        <f>'Календарный план'!C17</f>
        <v>0</v>
      </c>
      <c r="G14" s="122">
        <f>'Календарный план'!D17</f>
        <v>2500</v>
      </c>
      <c r="H14" s="122">
        <f>'Календарный план'!E17</f>
        <v>0</v>
      </c>
      <c r="I14" s="122">
        <f>'Календарный план'!F17</f>
        <v>0</v>
      </c>
      <c r="J14" s="122">
        <f>'Календарный план'!G17</f>
        <v>0</v>
      </c>
      <c r="K14" s="122">
        <f>'Календарный план'!H17</f>
        <v>0</v>
      </c>
      <c r="L14" s="122">
        <f>'Календарный план'!I17</f>
        <v>0</v>
      </c>
      <c r="M14" s="122">
        <f>'Календарный план'!J17</f>
        <v>0</v>
      </c>
      <c r="N14" s="122">
        <f>'Календарный план'!K17</f>
        <v>0</v>
      </c>
      <c r="O14" s="122">
        <f>'Календарный план'!L17</f>
        <v>0</v>
      </c>
      <c r="P14" s="122">
        <f>'Календарный план'!M17</f>
        <v>0</v>
      </c>
      <c r="Q14" s="122">
        <f>'Календарный план'!N17</f>
        <v>0</v>
      </c>
    </row>
    <row r="15" spans="1:17" ht="13.5" customHeight="1" x14ac:dyDescent="0.25">
      <c r="A15" s="138" t="s">
        <v>626</v>
      </c>
      <c r="B15" s="344" t="str">
        <f>'Календарный план'!B18</f>
        <v>Склад</v>
      </c>
      <c r="C15" s="122">
        <f>'Календарный план'!O18*(1+Риски!$B$9)</f>
        <v>400</v>
      </c>
      <c r="D15" s="122">
        <v>0</v>
      </c>
      <c r="E15" s="122">
        <f t="shared" si="3"/>
        <v>400</v>
      </c>
      <c r="F15" s="122">
        <f>'Календарный план'!C18</f>
        <v>0</v>
      </c>
      <c r="G15" s="122">
        <f>'Календарный план'!D18</f>
        <v>0</v>
      </c>
      <c r="H15" s="122">
        <f>'Календарный план'!E18</f>
        <v>400</v>
      </c>
      <c r="I15" s="122">
        <f>'Календарный план'!F18</f>
        <v>0</v>
      </c>
      <c r="J15" s="122">
        <f>'Календарный план'!G18</f>
        <v>0</v>
      </c>
      <c r="K15" s="122">
        <f>'Календарный план'!H18</f>
        <v>0</v>
      </c>
      <c r="L15" s="122">
        <f>'Календарный план'!I18</f>
        <v>0</v>
      </c>
      <c r="M15" s="122">
        <f>'Календарный план'!J18</f>
        <v>0</v>
      </c>
      <c r="N15" s="122">
        <f>'Календарный план'!K18</f>
        <v>0</v>
      </c>
      <c r="O15" s="122">
        <f>'Календарный план'!L18</f>
        <v>0</v>
      </c>
      <c r="P15" s="122">
        <f>'Календарный план'!M18</f>
        <v>0</v>
      </c>
      <c r="Q15" s="122">
        <f>'Календарный план'!N18</f>
        <v>0</v>
      </c>
    </row>
    <row r="16" spans="1:17" ht="13.5" customHeight="1" x14ac:dyDescent="0.25">
      <c r="A16" s="138" t="s">
        <v>627</v>
      </c>
      <c r="B16" s="344" t="str">
        <f>'Календарный план'!B19</f>
        <v>Бани</v>
      </c>
      <c r="C16" s="122">
        <f>'Календарный план'!O19*(1+Риски!$B$9)</f>
        <v>1000</v>
      </c>
      <c r="D16" s="122">
        <v>0</v>
      </c>
      <c r="E16" s="122">
        <f t="shared" si="3"/>
        <v>1000</v>
      </c>
      <c r="F16" s="122">
        <f>'Календарный план'!C19</f>
        <v>0</v>
      </c>
      <c r="G16" s="122">
        <f>'Календарный план'!D19</f>
        <v>0</v>
      </c>
      <c r="H16" s="122">
        <f>'Календарный план'!E19</f>
        <v>0</v>
      </c>
      <c r="I16" s="122">
        <f>'Календарный план'!F19</f>
        <v>0</v>
      </c>
      <c r="J16" s="122">
        <f>'Календарный план'!G19</f>
        <v>0</v>
      </c>
      <c r="K16" s="122">
        <f>'Календарный план'!H19</f>
        <v>250</v>
      </c>
      <c r="L16" s="122">
        <f>'Календарный план'!I19</f>
        <v>250</v>
      </c>
      <c r="M16" s="122">
        <f>'Календарный план'!J19</f>
        <v>500</v>
      </c>
      <c r="N16" s="122">
        <f>'Календарный план'!K19</f>
        <v>0</v>
      </c>
      <c r="O16" s="122">
        <f>'Календарный план'!L19</f>
        <v>0</v>
      </c>
      <c r="P16" s="122">
        <f>'Календарный план'!M19</f>
        <v>0</v>
      </c>
      <c r="Q16" s="122">
        <f>'Календарный план'!N19</f>
        <v>0</v>
      </c>
    </row>
    <row r="17" spans="1:21" ht="17.25" customHeight="1" x14ac:dyDescent="0.25">
      <c r="A17" s="138" t="s">
        <v>628</v>
      </c>
      <c r="B17" s="344" t="str">
        <f>'Календарный план'!B20</f>
        <v>Клуб с рестораном</v>
      </c>
      <c r="C17" s="122">
        <f>'Календарный план'!O20*(1+Риски!$B$9)</f>
        <v>12000</v>
      </c>
      <c r="D17" s="122">
        <v>0</v>
      </c>
      <c r="E17" s="122">
        <f t="shared" si="3"/>
        <v>12000</v>
      </c>
      <c r="F17" s="122">
        <f>'Календарный план'!C20</f>
        <v>0</v>
      </c>
      <c r="G17" s="122">
        <f>'Календарный план'!D20</f>
        <v>0</v>
      </c>
      <c r="H17" s="122">
        <f>'Календарный план'!E20</f>
        <v>0</v>
      </c>
      <c r="I17" s="122">
        <f>'Календарный план'!F20</f>
        <v>0</v>
      </c>
      <c r="J17" s="122">
        <f>'Календарный план'!G20</f>
        <v>6000</v>
      </c>
      <c r="K17" s="122">
        <f>'Календарный план'!H20</f>
        <v>6000</v>
      </c>
      <c r="L17" s="122">
        <f>'Календарный план'!I20</f>
        <v>0</v>
      </c>
      <c r="M17" s="122">
        <f>'Календарный план'!J20</f>
        <v>0</v>
      </c>
      <c r="N17" s="122">
        <f>'Календарный план'!K20</f>
        <v>0</v>
      </c>
      <c r="O17" s="122">
        <f>'Календарный план'!L20</f>
        <v>0</v>
      </c>
      <c r="P17" s="122">
        <f>'Календарный план'!M20</f>
        <v>0</v>
      </c>
      <c r="Q17" s="122">
        <f>'Календарный план'!N20</f>
        <v>0</v>
      </c>
    </row>
    <row r="18" spans="1:21" ht="13.5" customHeight="1" x14ac:dyDescent="0.25">
      <c r="A18" s="138" t="s">
        <v>629</v>
      </c>
      <c r="B18" s="344" t="str">
        <f>'Календарный план'!B21</f>
        <v>Workout площадка</v>
      </c>
      <c r="C18" s="122">
        <f>'Календарный план'!O21*(1+Риски!$B$9)</f>
        <v>200</v>
      </c>
      <c r="D18" s="122">
        <v>0</v>
      </c>
      <c r="E18" s="122">
        <f t="shared" si="3"/>
        <v>200</v>
      </c>
      <c r="F18" s="122">
        <f>'Календарный план'!C21</f>
        <v>0</v>
      </c>
      <c r="G18" s="122">
        <f>'Календарный план'!D21</f>
        <v>0</v>
      </c>
      <c r="H18" s="122">
        <f>'Календарный план'!E21</f>
        <v>0</v>
      </c>
      <c r="I18" s="122">
        <f>'Календарный план'!F21</f>
        <v>0</v>
      </c>
      <c r="J18" s="122">
        <f>'Календарный план'!G21</f>
        <v>0</v>
      </c>
      <c r="K18" s="122">
        <f>'Календарный план'!H21</f>
        <v>0</v>
      </c>
      <c r="L18" s="122">
        <f>'Календарный план'!I21</f>
        <v>0</v>
      </c>
      <c r="M18" s="122">
        <f>'Календарный план'!J21</f>
        <v>200</v>
      </c>
      <c r="N18" s="122">
        <f>'Календарный план'!K21</f>
        <v>0</v>
      </c>
      <c r="O18" s="122">
        <f>'Календарный план'!L21</f>
        <v>0</v>
      </c>
      <c r="P18" s="122">
        <f>'Календарный план'!M21</f>
        <v>0</v>
      </c>
      <c r="Q18" s="122">
        <f>'Календарный план'!N21</f>
        <v>0</v>
      </c>
    </row>
    <row r="19" spans="1:21" ht="12.75" customHeight="1" x14ac:dyDescent="0.25">
      <c r="A19" s="138" t="s">
        <v>630</v>
      </c>
      <c r="B19" s="344" t="str">
        <f>'Календарный план'!B22</f>
        <v>Детская площадка</v>
      </c>
      <c r="C19" s="122">
        <f>'Календарный план'!O22*(1+Риски!$B$9)</f>
        <v>100</v>
      </c>
      <c r="D19" s="122">
        <v>0</v>
      </c>
      <c r="E19" s="122">
        <f t="shared" si="3"/>
        <v>100</v>
      </c>
      <c r="F19" s="122">
        <f>'Календарный план'!C22</f>
        <v>0</v>
      </c>
      <c r="G19" s="122">
        <f>'Календарный план'!D22</f>
        <v>0</v>
      </c>
      <c r="H19" s="122">
        <f>'Календарный план'!E22</f>
        <v>0</v>
      </c>
      <c r="I19" s="122">
        <f>'Календарный план'!F22</f>
        <v>0</v>
      </c>
      <c r="J19" s="122">
        <f>'Календарный план'!G22</f>
        <v>0</v>
      </c>
      <c r="K19" s="122">
        <f>'Календарный план'!H22</f>
        <v>0</v>
      </c>
      <c r="L19" s="122">
        <f>'Календарный план'!I22</f>
        <v>0</v>
      </c>
      <c r="M19" s="122">
        <f>'Календарный план'!J22</f>
        <v>0</v>
      </c>
      <c r="N19" s="122">
        <f>'Календарный план'!K22</f>
        <v>100</v>
      </c>
      <c r="O19" s="122">
        <f>'Календарный план'!L22</f>
        <v>0</v>
      </c>
      <c r="P19" s="122">
        <f>'Календарный план'!M22</f>
        <v>0</v>
      </c>
      <c r="Q19" s="122">
        <f>'Календарный план'!N22</f>
        <v>0</v>
      </c>
    </row>
    <row r="20" spans="1:21" ht="13.5" customHeight="1" x14ac:dyDescent="0.25">
      <c r="A20" s="138" t="s">
        <v>631</v>
      </c>
      <c r="B20" s="344" t="str">
        <f>'Календарный план'!B23</f>
        <v>Барбекю-парк</v>
      </c>
      <c r="C20" s="122">
        <f>'Календарный план'!O23*(1+Риски!$B$9)</f>
        <v>400</v>
      </c>
      <c r="D20" s="122">
        <v>0</v>
      </c>
      <c r="E20" s="122">
        <f t="shared" si="3"/>
        <v>400</v>
      </c>
      <c r="F20" s="122">
        <f>'Календарный план'!C23</f>
        <v>0</v>
      </c>
      <c r="G20" s="122">
        <f>'Календарный план'!D23</f>
        <v>0</v>
      </c>
      <c r="H20" s="122">
        <f>'Календарный план'!E23</f>
        <v>0</v>
      </c>
      <c r="I20" s="122">
        <f>'Календарный план'!F23</f>
        <v>0</v>
      </c>
      <c r="J20" s="122">
        <f>'Календарный план'!G23</f>
        <v>0</v>
      </c>
      <c r="K20" s="122">
        <f>'Календарный план'!H23</f>
        <v>0</v>
      </c>
      <c r="L20" s="122">
        <f>'Календарный план'!I23</f>
        <v>0</v>
      </c>
      <c r="M20" s="122">
        <f>'Календарный план'!J23</f>
        <v>400</v>
      </c>
      <c r="N20" s="122">
        <f>'Календарный план'!K23</f>
        <v>0</v>
      </c>
      <c r="O20" s="122">
        <f>'Календарный план'!L23</f>
        <v>0</v>
      </c>
      <c r="P20" s="122">
        <f>'Календарный план'!M23</f>
        <v>0</v>
      </c>
      <c r="Q20" s="122">
        <f>'Календарный план'!N23</f>
        <v>0</v>
      </c>
    </row>
    <row r="21" spans="1:21" x14ac:dyDescent="0.25">
      <c r="A21" s="138" t="s">
        <v>632</v>
      </c>
      <c r="B21" s="344" t="str">
        <f>'Календарный план'!B24</f>
        <v>Костровая зона</v>
      </c>
      <c r="C21" s="122">
        <f>'Календарный план'!O24*(1+Риски!$B$9)</f>
        <v>50</v>
      </c>
      <c r="D21" s="122">
        <v>0</v>
      </c>
      <c r="E21" s="122">
        <f t="shared" si="3"/>
        <v>50</v>
      </c>
      <c r="F21" s="122">
        <f>'Календарный план'!C24</f>
        <v>0</v>
      </c>
      <c r="G21" s="122">
        <f>'Календарный план'!D24</f>
        <v>0</v>
      </c>
      <c r="H21" s="122">
        <f>'Календарный план'!E24</f>
        <v>0</v>
      </c>
      <c r="I21" s="122">
        <f>'Календарный план'!F24</f>
        <v>0</v>
      </c>
      <c r="J21" s="122">
        <f>'Календарный план'!G24</f>
        <v>0</v>
      </c>
      <c r="K21" s="122">
        <f>'Календарный план'!H24</f>
        <v>0</v>
      </c>
      <c r="L21" s="122">
        <f>'Календарный план'!I24</f>
        <v>0</v>
      </c>
      <c r="M21" s="122">
        <f>'Календарный план'!J24</f>
        <v>0</v>
      </c>
      <c r="N21" s="122">
        <f>'Календарный план'!K24</f>
        <v>50</v>
      </c>
      <c r="O21" s="122">
        <f>'Календарный план'!L24</f>
        <v>0</v>
      </c>
      <c r="P21" s="122">
        <f>'Календарный план'!M24</f>
        <v>0</v>
      </c>
      <c r="Q21" s="122">
        <f>'Календарный план'!N24</f>
        <v>0</v>
      </c>
      <c r="R21" s="39"/>
      <c r="S21" s="39"/>
    </row>
    <row r="22" spans="1:21" x14ac:dyDescent="0.25">
      <c r="A22" s="138" t="s">
        <v>633</v>
      </c>
      <c r="B22" s="344" t="str">
        <f>'Календарный план'!B25</f>
        <v>Тент-беседка (кафе)</v>
      </c>
      <c r="C22" s="122">
        <f>'Календарный план'!O25*(1+Риски!$B$9)</f>
        <v>250</v>
      </c>
      <c r="D22" s="122">
        <v>0</v>
      </c>
      <c r="E22" s="122">
        <f t="shared" si="3"/>
        <v>250</v>
      </c>
      <c r="F22" s="122">
        <f>'Календарный план'!C25</f>
        <v>0</v>
      </c>
      <c r="G22" s="122">
        <f>'Календарный план'!D25</f>
        <v>0</v>
      </c>
      <c r="H22" s="122">
        <f>'Календарный план'!E25</f>
        <v>0</v>
      </c>
      <c r="I22" s="122">
        <f>'Календарный план'!F25</f>
        <v>250</v>
      </c>
      <c r="J22" s="122">
        <f>'Календарный план'!G25</f>
        <v>0</v>
      </c>
      <c r="K22" s="122">
        <f>'Календарный план'!H25</f>
        <v>0</v>
      </c>
      <c r="L22" s="122">
        <f>'Календарный план'!I25</f>
        <v>0</v>
      </c>
      <c r="M22" s="122">
        <f>'Календарный план'!J25</f>
        <v>0</v>
      </c>
      <c r="N22" s="122">
        <f>'Календарный план'!K25</f>
        <v>0</v>
      </c>
      <c r="O22" s="122">
        <f>'Календарный план'!L25</f>
        <v>0</v>
      </c>
      <c r="P22" s="122">
        <f>'Календарный план'!M25</f>
        <v>0</v>
      </c>
      <c r="Q22" s="122">
        <f>'Календарный план'!N25</f>
        <v>0</v>
      </c>
      <c r="R22" s="39"/>
      <c r="S22" s="39"/>
      <c r="T22" s="39"/>
      <c r="U22" s="39"/>
    </row>
    <row r="23" spans="1:21" x14ac:dyDescent="0.25">
      <c r="A23" s="138" t="s">
        <v>634</v>
      </c>
      <c r="B23" s="344" t="str">
        <f>'Календарный план'!B26</f>
        <v>Прокат/байкшеринг</v>
      </c>
      <c r="C23" s="122">
        <f>'Календарный план'!O26*(1+Риски!$B$9)</f>
        <v>400</v>
      </c>
      <c r="D23" s="122">
        <v>0</v>
      </c>
      <c r="E23" s="122">
        <f t="shared" si="3"/>
        <v>400</v>
      </c>
      <c r="F23" s="122">
        <f>'Календарный план'!C26</f>
        <v>0</v>
      </c>
      <c r="G23" s="122">
        <f>'Календарный план'!D26</f>
        <v>0</v>
      </c>
      <c r="H23" s="122">
        <f>'Календарный план'!E26</f>
        <v>400</v>
      </c>
      <c r="I23" s="122">
        <f>'Календарный план'!F26</f>
        <v>0</v>
      </c>
      <c r="J23" s="122">
        <f>'Календарный план'!G26</f>
        <v>0</v>
      </c>
      <c r="K23" s="122">
        <f>'Календарный план'!H26</f>
        <v>0</v>
      </c>
      <c r="L23" s="122">
        <f>'Календарный план'!I26</f>
        <v>0</v>
      </c>
      <c r="M23" s="122">
        <f>'Календарный план'!J26</f>
        <v>0</v>
      </c>
      <c r="N23" s="122">
        <f>'Календарный план'!K26</f>
        <v>0</v>
      </c>
      <c r="O23" s="122">
        <f>'Календарный план'!L26</f>
        <v>0</v>
      </c>
      <c r="P23" s="122">
        <f>'Календарный план'!M26</f>
        <v>0</v>
      </c>
      <c r="Q23" s="122">
        <f>'Календарный план'!N26</f>
        <v>0</v>
      </c>
    </row>
    <row r="24" spans="1:21" x14ac:dyDescent="0.25">
      <c r="A24" s="355" t="s">
        <v>635</v>
      </c>
      <c r="B24" s="321" t="str">
        <f>'Календарный план'!B10</f>
        <v>Проектирование</v>
      </c>
      <c r="C24" s="354">
        <f>'Календарный план'!O10*(1+Риски!$B$9)</f>
        <v>8089.6229760000006</v>
      </c>
      <c r="D24" s="354">
        <v>0</v>
      </c>
      <c r="E24" s="354">
        <f>C24-D24</f>
        <v>8089.6229760000006</v>
      </c>
      <c r="F24" s="354">
        <f>'Календарный план'!C10</f>
        <v>4044.8114880000003</v>
      </c>
      <c r="G24" s="354">
        <f>'Календарный план'!D10</f>
        <v>4044.8114880000003</v>
      </c>
      <c r="H24" s="354">
        <f>'Календарный план'!E10</f>
        <v>0</v>
      </c>
      <c r="I24" s="354">
        <f>'Календарный план'!F10</f>
        <v>0</v>
      </c>
      <c r="J24" s="354">
        <f>'Календарный план'!G10</f>
        <v>0</v>
      </c>
      <c r="K24" s="354">
        <f>'Календарный план'!H10</f>
        <v>0</v>
      </c>
      <c r="L24" s="354">
        <f>'Календарный план'!I10</f>
        <v>0</v>
      </c>
      <c r="M24" s="354">
        <f>'Календарный план'!J10</f>
        <v>0</v>
      </c>
      <c r="N24" s="354">
        <f>'Календарный план'!K10</f>
        <v>0</v>
      </c>
      <c r="O24" s="354">
        <f>'Календарный план'!L10</f>
        <v>0</v>
      </c>
      <c r="P24" s="354">
        <f>'Календарный план'!M10</f>
        <v>0</v>
      </c>
      <c r="Q24" s="354">
        <f>'Календарный план'!N10</f>
        <v>0</v>
      </c>
    </row>
    <row r="25" spans="1:21" ht="13.5" customHeight="1" x14ac:dyDescent="0.25">
      <c r="A25" s="355" t="s">
        <v>636</v>
      </c>
      <c r="B25" s="321" t="str">
        <f>'Календарный план'!B11</f>
        <v>Благоустройство</v>
      </c>
      <c r="C25" s="354">
        <f>SUM(C26:C27)</f>
        <v>7600</v>
      </c>
      <c r="D25" s="354">
        <f t="shared" ref="D25:Q25" si="4">SUM(D26:D27)</f>
        <v>0</v>
      </c>
      <c r="E25" s="354">
        <f t="shared" si="4"/>
        <v>7600</v>
      </c>
      <c r="F25" s="354">
        <f t="shared" si="4"/>
        <v>0</v>
      </c>
      <c r="G25" s="354">
        <f t="shared" si="4"/>
        <v>0</v>
      </c>
      <c r="H25" s="354">
        <f t="shared" si="4"/>
        <v>0</v>
      </c>
      <c r="I25" s="354">
        <f t="shared" si="4"/>
        <v>1200</v>
      </c>
      <c r="J25" s="354">
        <f t="shared" si="4"/>
        <v>2280</v>
      </c>
      <c r="K25" s="354">
        <f t="shared" si="4"/>
        <v>2680</v>
      </c>
      <c r="L25" s="354">
        <f t="shared" si="4"/>
        <v>1440</v>
      </c>
      <c r="M25" s="354">
        <f t="shared" si="4"/>
        <v>0</v>
      </c>
      <c r="N25" s="354">
        <f t="shared" si="4"/>
        <v>0</v>
      </c>
      <c r="O25" s="354">
        <f t="shared" si="4"/>
        <v>0</v>
      </c>
      <c r="P25" s="354">
        <f t="shared" si="4"/>
        <v>0</v>
      </c>
      <c r="Q25" s="354">
        <f t="shared" si="4"/>
        <v>0</v>
      </c>
    </row>
    <row r="26" spans="1:21" ht="13.5" customHeight="1" x14ac:dyDescent="0.25">
      <c r="A26" s="138" t="s">
        <v>637</v>
      </c>
      <c r="B26" s="344" t="str">
        <f>'Календарный план'!B12</f>
        <v>Дороги/тропинки/парковки/гравий</v>
      </c>
      <c r="C26" s="122">
        <f>'Календарный план'!O12*(1+Риски!$B$9)</f>
        <v>3600</v>
      </c>
      <c r="D26" s="122">
        <v>0</v>
      </c>
      <c r="E26" s="122">
        <f>C26-D26</f>
        <v>3600</v>
      </c>
      <c r="F26" s="122">
        <f>'Календарный план'!C12</f>
        <v>0</v>
      </c>
      <c r="G26" s="122">
        <f>'Календарный план'!D12</f>
        <v>0</v>
      </c>
      <c r="H26" s="122">
        <f>'Календарный план'!E12</f>
        <v>0</v>
      </c>
      <c r="I26" s="122">
        <f>'Календарный план'!F12</f>
        <v>0</v>
      </c>
      <c r="J26" s="122">
        <f>'Календарный план'!G12</f>
        <v>1080</v>
      </c>
      <c r="K26" s="122">
        <f>'Календарный план'!H12</f>
        <v>1080</v>
      </c>
      <c r="L26" s="122">
        <f>'Календарный план'!I12</f>
        <v>1440</v>
      </c>
      <c r="M26" s="122">
        <f>'Календарный план'!J12</f>
        <v>0</v>
      </c>
      <c r="N26" s="122">
        <f>'Календарный план'!K12</f>
        <v>0</v>
      </c>
      <c r="O26" s="122">
        <f>'Календарный план'!L12</f>
        <v>0</v>
      </c>
      <c r="P26" s="122">
        <f>'Календарный план'!M12</f>
        <v>0</v>
      </c>
      <c r="Q26" s="122">
        <f>'Календарный план'!N12</f>
        <v>0</v>
      </c>
    </row>
    <row r="27" spans="1:21" ht="13.5" customHeight="1" x14ac:dyDescent="0.25">
      <c r="A27" s="138" t="s">
        <v>638</v>
      </c>
      <c r="B27" s="344" t="str">
        <f>'Календарный план'!B13</f>
        <v>Парковая зона, озеленение, деревья</v>
      </c>
      <c r="C27" s="122">
        <f>'Календарный план'!O13*(1+Риски!$B$9)</f>
        <v>4000</v>
      </c>
      <c r="D27" s="122">
        <v>0</v>
      </c>
      <c r="E27" s="122">
        <f>C27-D27</f>
        <v>4000</v>
      </c>
      <c r="F27" s="122">
        <f>'Календарный план'!C13</f>
        <v>0</v>
      </c>
      <c r="G27" s="122">
        <f>'Календарный план'!D13</f>
        <v>0</v>
      </c>
      <c r="H27" s="122">
        <f>'Календарный план'!E13</f>
        <v>0</v>
      </c>
      <c r="I27" s="122">
        <f>'Календарный план'!F13</f>
        <v>1200</v>
      </c>
      <c r="J27" s="122">
        <f>'Календарный план'!G13</f>
        <v>1200</v>
      </c>
      <c r="K27" s="122">
        <f>'Календарный план'!H13</f>
        <v>1600</v>
      </c>
      <c r="L27" s="122">
        <f>'Календарный план'!I13</f>
        <v>0</v>
      </c>
      <c r="M27" s="122">
        <f>'Календарный план'!J13</f>
        <v>0</v>
      </c>
      <c r="N27" s="122">
        <f>'Календарный план'!K13</f>
        <v>0</v>
      </c>
      <c r="O27" s="122">
        <f>'Календарный план'!L13</f>
        <v>0</v>
      </c>
      <c r="P27" s="122">
        <f>'Календарный план'!M13</f>
        <v>0</v>
      </c>
      <c r="Q27" s="122">
        <f>'Календарный план'!N13</f>
        <v>0</v>
      </c>
    </row>
    <row r="28" spans="1:21" x14ac:dyDescent="0.25">
      <c r="A28" s="353">
        <v>5</v>
      </c>
      <c r="B28" s="321" t="s">
        <v>49</v>
      </c>
      <c r="C28" s="354">
        <f>SUM(F28:Q28)</f>
        <v>1846.6013519999997</v>
      </c>
      <c r="D28" s="354">
        <v>0</v>
      </c>
      <c r="E28" s="354">
        <f t="shared" si="3"/>
        <v>1846.6013519999997</v>
      </c>
      <c r="F28" s="354">
        <f>SUM(F29:F32)</f>
        <v>123.791</v>
      </c>
      <c r="G28" s="354">
        <f t="shared" ref="G28:Q28" si="5">SUM(G29:G32)</f>
        <v>123.791</v>
      </c>
      <c r="H28" s="354">
        <f t="shared" si="5"/>
        <v>123.791</v>
      </c>
      <c r="I28" s="354">
        <f t="shared" si="5"/>
        <v>128.74263999999999</v>
      </c>
      <c r="J28" s="354">
        <f t="shared" si="5"/>
        <v>128.74263999999999</v>
      </c>
      <c r="K28" s="354">
        <f t="shared" si="5"/>
        <v>128.74263999999999</v>
      </c>
      <c r="L28" s="354">
        <f t="shared" si="5"/>
        <v>128.74263999999999</v>
      </c>
      <c r="M28" s="354">
        <f t="shared" si="5"/>
        <v>128.74263999999999</v>
      </c>
      <c r="N28" s="354">
        <f t="shared" si="5"/>
        <v>728.39415999999994</v>
      </c>
      <c r="O28" s="354">
        <f t="shared" si="5"/>
        <v>103.12099200000003</v>
      </c>
      <c r="P28" s="354">
        <f t="shared" si="5"/>
        <v>0</v>
      </c>
      <c r="Q28" s="354">
        <f t="shared" si="5"/>
        <v>0</v>
      </c>
    </row>
    <row r="29" spans="1:21" x14ac:dyDescent="0.25">
      <c r="A29" s="138" t="s">
        <v>639</v>
      </c>
      <c r="B29" s="344" t="s">
        <v>607</v>
      </c>
      <c r="C29" s="122">
        <f>SUM(F29:Q29)</f>
        <v>1316.0447999999999</v>
      </c>
      <c r="D29" s="122">
        <v>0</v>
      </c>
      <c r="E29" s="122">
        <f>C29</f>
        <v>1316.0447999999999</v>
      </c>
      <c r="F29" s="122">
        <f>Расходы!B13+Расходы!B14</f>
        <v>115.2</v>
      </c>
      <c r="G29" s="122">
        <f>Расходы!C13+Расходы!C14</f>
        <v>115.2</v>
      </c>
      <c r="H29" s="122">
        <f>Расходы!D13+Расходы!D14</f>
        <v>115.2</v>
      </c>
      <c r="I29" s="122">
        <f>Расходы!E13+Расходы!E14</f>
        <v>119.80800000000001</v>
      </c>
      <c r="J29" s="122">
        <f>Расходы!F13+Расходы!F14</f>
        <v>119.80800000000001</v>
      </c>
      <c r="K29" s="122">
        <f>Расходы!G13+Расходы!G14</f>
        <v>119.80800000000001</v>
      </c>
      <c r="L29" s="122">
        <f>Расходы!H13+Расходы!H14</f>
        <v>119.80800000000001</v>
      </c>
      <c r="M29" s="122">
        <f>Расходы!I13+Расходы!I14</f>
        <v>119.80800000000001</v>
      </c>
      <c r="N29" s="122">
        <f>Расходы!J13+Расходы!J14</f>
        <v>371.40479999999997</v>
      </c>
      <c r="O29" s="122">
        <v>0</v>
      </c>
      <c r="P29" s="122">
        <v>0</v>
      </c>
      <c r="Q29" s="122">
        <v>0</v>
      </c>
    </row>
    <row r="30" spans="1:21" x14ac:dyDescent="0.25">
      <c r="A30" s="138" t="s">
        <v>640</v>
      </c>
      <c r="B30" s="344" t="s">
        <v>608</v>
      </c>
      <c r="C30" s="122">
        <f t="shared" ref="C30:C32" si="6">SUM(F30:Q30)</f>
        <v>79.380840000000006</v>
      </c>
      <c r="D30" s="122">
        <v>0</v>
      </c>
      <c r="E30" s="122">
        <f t="shared" ref="E30:E32" si="7">C30</f>
        <v>79.380840000000006</v>
      </c>
      <c r="F30" s="122">
        <f>Расходы!B15</f>
        <v>8.5909999999999993</v>
      </c>
      <c r="G30" s="122">
        <f>Расходы!C15</f>
        <v>8.5909999999999993</v>
      </c>
      <c r="H30" s="122">
        <f>Расходы!D15</f>
        <v>8.5909999999999993</v>
      </c>
      <c r="I30" s="122">
        <f>Расходы!E15</f>
        <v>8.9346399999999999</v>
      </c>
      <c r="J30" s="122">
        <f>Расходы!F15</f>
        <v>8.9346399999999999</v>
      </c>
      <c r="K30" s="122">
        <f>Расходы!G15</f>
        <v>8.9346399999999999</v>
      </c>
      <c r="L30" s="122">
        <f>Расходы!H15</f>
        <v>8.9346399999999999</v>
      </c>
      <c r="M30" s="122">
        <f>Расходы!I15</f>
        <v>8.9346399999999999</v>
      </c>
      <c r="N30" s="122">
        <f>Расходы!J15</f>
        <v>8.9346399999999999</v>
      </c>
      <c r="O30" s="122">
        <v>0</v>
      </c>
      <c r="P30" s="122">
        <v>0</v>
      </c>
      <c r="Q30" s="122">
        <v>0</v>
      </c>
    </row>
    <row r="31" spans="1:21" x14ac:dyDescent="0.25">
      <c r="A31" s="138" t="s">
        <v>641</v>
      </c>
      <c r="B31" s="344" t="s">
        <v>615</v>
      </c>
      <c r="C31" s="122">
        <f t="shared" si="6"/>
        <v>204.73315200000002</v>
      </c>
      <c r="D31" s="122">
        <v>0</v>
      </c>
      <c r="E31" s="122">
        <f t="shared" si="7"/>
        <v>204.73315200000002</v>
      </c>
      <c r="F31" s="122">
        <v>0</v>
      </c>
      <c r="G31" s="122">
        <v>0</v>
      </c>
      <c r="H31" s="122">
        <v>0</v>
      </c>
      <c r="I31" s="122">
        <v>0</v>
      </c>
      <c r="J31" s="122">
        <v>0</v>
      </c>
      <c r="K31" s="122">
        <v>0</v>
      </c>
      <c r="L31" s="122">
        <v>0</v>
      </c>
      <c r="M31" s="122">
        <v>0</v>
      </c>
      <c r="N31" s="122">
        <f>Расходы!K31+Расходы!K19</f>
        <v>101.61216</v>
      </c>
      <c r="O31" s="122">
        <f>Расходы!L31+Расходы!L19</f>
        <v>103.12099200000003</v>
      </c>
      <c r="P31" s="122">
        <v>0</v>
      </c>
      <c r="Q31" s="122">
        <v>0</v>
      </c>
    </row>
    <row r="32" spans="1:21" x14ac:dyDescent="0.25">
      <c r="A32" s="138" t="s">
        <v>642</v>
      </c>
      <c r="B32" s="344" t="s">
        <v>610</v>
      </c>
      <c r="C32" s="122">
        <f t="shared" si="6"/>
        <v>246.44255999999996</v>
      </c>
      <c r="D32" s="122">
        <v>0</v>
      </c>
      <c r="E32" s="122">
        <f t="shared" si="7"/>
        <v>246.44255999999996</v>
      </c>
      <c r="F32" s="122">
        <v>0</v>
      </c>
      <c r="G32" s="122">
        <v>0</v>
      </c>
      <c r="H32" s="122">
        <v>0</v>
      </c>
      <c r="I32" s="122">
        <v>0</v>
      </c>
      <c r="J32" s="122">
        <v>0</v>
      </c>
      <c r="K32" s="122">
        <v>0</v>
      </c>
      <c r="L32" s="122">
        <v>0</v>
      </c>
      <c r="M32" s="122">
        <v>0</v>
      </c>
      <c r="N32" s="122">
        <f>Расходы!K32</f>
        <v>246.44255999999996</v>
      </c>
      <c r="O32" s="122">
        <v>0</v>
      </c>
      <c r="P32" s="122">
        <v>0</v>
      </c>
      <c r="Q32" s="122">
        <v>0</v>
      </c>
    </row>
    <row r="33" spans="1:17" x14ac:dyDescent="0.25">
      <c r="A33" s="356"/>
      <c r="B33" s="318" t="str">
        <f>'Календарный план'!B28</f>
        <v>Всего</v>
      </c>
      <c r="C33" s="319">
        <f>C24+C25+C11+C28+C10</f>
        <v>133259.34098079999</v>
      </c>
      <c r="D33" s="319">
        <f t="shared" ref="D33:Q33" si="8">D24+D25+D11+D28+D10</f>
        <v>0</v>
      </c>
      <c r="E33" s="319">
        <f t="shared" si="8"/>
        <v>133259.34098079999</v>
      </c>
      <c r="F33" s="319">
        <f t="shared" si="8"/>
        <v>44168.602488000004</v>
      </c>
      <c r="G33" s="319">
        <f t="shared" si="8"/>
        <v>11381.8102944</v>
      </c>
      <c r="H33" s="319">
        <f t="shared" si="8"/>
        <v>14969.7037664</v>
      </c>
      <c r="I33" s="319">
        <f t="shared" si="8"/>
        <v>9744.8594799999992</v>
      </c>
      <c r="J33" s="319">
        <f t="shared" si="8"/>
        <v>18908.03572</v>
      </c>
      <c r="K33" s="319">
        <f t="shared" si="8"/>
        <v>12558.507000000001</v>
      </c>
      <c r="L33" s="319">
        <f t="shared" si="8"/>
        <v>9984.8594799999992</v>
      </c>
      <c r="M33" s="319">
        <f t="shared" si="8"/>
        <v>5895.09512</v>
      </c>
      <c r="N33" s="319">
        <f t="shared" si="8"/>
        <v>5544.7466399999994</v>
      </c>
      <c r="O33" s="319">
        <f t="shared" si="8"/>
        <v>103.12099200000003</v>
      </c>
      <c r="P33" s="319">
        <f t="shared" si="8"/>
        <v>0</v>
      </c>
      <c r="Q33" s="319">
        <f t="shared" si="8"/>
        <v>0</v>
      </c>
    </row>
    <row r="56" spans="1:80" x14ac:dyDescent="0.25">
      <c r="A56" s="7" t="s">
        <v>683</v>
      </c>
    </row>
    <row r="57" spans="1:80" x14ac:dyDescent="0.25">
      <c r="A57" s="488" t="s">
        <v>594</v>
      </c>
      <c r="B57" s="495" t="s">
        <v>593</v>
      </c>
      <c r="C57" s="479" t="s">
        <v>590</v>
      </c>
      <c r="D57" s="479" t="s">
        <v>591</v>
      </c>
      <c r="E57" s="479" t="s">
        <v>592</v>
      </c>
      <c r="F57" s="368">
        <f>'Книга допущений'!B12</f>
        <v>2020</v>
      </c>
      <c r="G57" s="140">
        <f t="shared" ref="G57:AL57" si="9">IF(MONTH(G58)=1,F57+1,F57)</f>
        <v>2020</v>
      </c>
      <c r="H57" s="140">
        <f t="shared" si="9"/>
        <v>2020</v>
      </c>
      <c r="I57" s="140">
        <f t="shared" si="9"/>
        <v>2021</v>
      </c>
      <c r="J57" s="140">
        <f t="shared" si="9"/>
        <v>2021</v>
      </c>
      <c r="K57" s="140">
        <f t="shared" si="9"/>
        <v>2021</v>
      </c>
      <c r="L57" s="140">
        <f t="shared" si="9"/>
        <v>2021</v>
      </c>
      <c r="M57" s="140">
        <f t="shared" si="9"/>
        <v>2021</v>
      </c>
      <c r="N57" s="140">
        <f t="shared" si="9"/>
        <v>2021</v>
      </c>
      <c r="O57" s="140">
        <f t="shared" si="9"/>
        <v>2021</v>
      </c>
      <c r="P57" s="140">
        <f t="shared" si="9"/>
        <v>2021</v>
      </c>
      <c r="Q57" s="140">
        <f t="shared" si="9"/>
        <v>2021</v>
      </c>
      <c r="R57" s="140">
        <f t="shared" si="9"/>
        <v>2021</v>
      </c>
      <c r="S57" s="140">
        <f t="shared" si="9"/>
        <v>2021</v>
      </c>
      <c r="T57" s="140">
        <f t="shared" si="9"/>
        <v>2021</v>
      </c>
      <c r="U57" s="140">
        <f t="shared" si="9"/>
        <v>2022</v>
      </c>
      <c r="V57" s="140">
        <f t="shared" si="9"/>
        <v>2022</v>
      </c>
      <c r="W57" s="140">
        <f t="shared" si="9"/>
        <v>2022</v>
      </c>
      <c r="X57" s="140">
        <f t="shared" si="9"/>
        <v>2022</v>
      </c>
      <c r="Y57" s="140">
        <f t="shared" si="9"/>
        <v>2022</v>
      </c>
      <c r="Z57" s="140">
        <f t="shared" si="9"/>
        <v>2022</v>
      </c>
      <c r="AA57" s="140">
        <f t="shared" si="9"/>
        <v>2022</v>
      </c>
      <c r="AB57" s="140">
        <f t="shared" si="9"/>
        <v>2022</v>
      </c>
      <c r="AC57" s="140">
        <f t="shared" si="9"/>
        <v>2022</v>
      </c>
      <c r="AD57" s="140">
        <f t="shared" si="9"/>
        <v>2022</v>
      </c>
      <c r="AE57" s="140">
        <f t="shared" si="9"/>
        <v>2022</v>
      </c>
      <c r="AF57" s="140">
        <f t="shared" si="9"/>
        <v>2022</v>
      </c>
      <c r="AG57" s="140">
        <f t="shared" si="9"/>
        <v>2023</v>
      </c>
      <c r="AH57" s="140">
        <f t="shared" si="9"/>
        <v>2023</v>
      </c>
      <c r="AI57" s="140">
        <f t="shared" si="9"/>
        <v>2023</v>
      </c>
      <c r="AJ57" s="140">
        <f t="shared" si="9"/>
        <v>2023</v>
      </c>
      <c r="AK57" s="140">
        <f t="shared" si="9"/>
        <v>2023</v>
      </c>
      <c r="AL57" s="140">
        <f t="shared" si="9"/>
        <v>2023</v>
      </c>
      <c r="AM57" s="140">
        <f t="shared" ref="AM57:BR57" si="10">IF(MONTH(AM58)=1,AL57+1,AL57)</f>
        <v>2023</v>
      </c>
      <c r="AN57" s="140">
        <f t="shared" si="10"/>
        <v>2023</v>
      </c>
      <c r="AO57" s="140">
        <f t="shared" si="10"/>
        <v>2023</v>
      </c>
      <c r="AP57" s="140">
        <f t="shared" si="10"/>
        <v>2023</v>
      </c>
      <c r="AQ57" s="140">
        <f t="shared" si="10"/>
        <v>2023</v>
      </c>
      <c r="AR57" s="140">
        <f t="shared" si="10"/>
        <v>2023</v>
      </c>
      <c r="AS57" s="140">
        <f t="shared" si="10"/>
        <v>2024</v>
      </c>
      <c r="AT57" s="140">
        <f t="shared" si="10"/>
        <v>2024</v>
      </c>
      <c r="AU57" s="140">
        <f t="shared" si="10"/>
        <v>2024</v>
      </c>
      <c r="AV57" s="140">
        <f t="shared" si="10"/>
        <v>2024</v>
      </c>
      <c r="AW57" s="140">
        <f t="shared" si="10"/>
        <v>2024</v>
      </c>
      <c r="AX57" s="140">
        <f t="shared" si="10"/>
        <v>2024</v>
      </c>
      <c r="AY57" s="140">
        <f t="shared" si="10"/>
        <v>2024</v>
      </c>
      <c r="AZ57" s="140">
        <f t="shared" si="10"/>
        <v>2024</v>
      </c>
      <c r="BA57" s="140">
        <f t="shared" si="10"/>
        <v>2024</v>
      </c>
      <c r="BB57" s="140">
        <f t="shared" si="10"/>
        <v>2024</v>
      </c>
      <c r="BC57" s="140">
        <f t="shared" si="10"/>
        <v>2024</v>
      </c>
      <c r="BD57" s="140">
        <f t="shared" si="10"/>
        <v>2024</v>
      </c>
      <c r="BE57" s="140">
        <f t="shared" si="10"/>
        <v>2025</v>
      </c>
      <c r="BF57" s="140">
        <f t="shared" si="10"/>
        <v>2025</v>
      </c>
      <c r="BG57" s="140">
        <f t="shared" si="10"/>
        <v>2025</v>
      </c>
      <c r="BH57" s="140">
        <f t="shared" si="10"/>
        <v>2025</v>
      </c>
      <c r="BI57" s="140">
        <f t="shared" si="10"/>
        <v>2025</v>
      </c>
      <c r="BJ57" s="140">
        <f t="shared" si="10"/>
        <v>2025</v>
      </c>
      <c r="BK57" s="140">
        <f t="shared" si="10"/>
        <v>2025</v>
      </c>
      <c r="BL57" s="140">
        <f t="shared" si="10"/>
        <v>2025</v>
      </c>
      <c r="BM57" s="140">
        <f t="shared" si="10"/>
        <v>2025</v>
      </c>
      <c r="BN57" s="140">
        <f t="shared" si="10"/>
        <v>2025</v>
      </c>
      <c r="BO57" s="140">
        <f t="shared" si="10"/>
        <v>2025</v>
      </c>
      <c r="BP57" s="140">
        <f t="shared" si="10"/>
        <v>2025</v>
      </c>
      <c r="BQ57" s="140">
        <f t="shared" si="10"/>
        <v>2026</v>
      </c>
      <c r="BR57" s="140">
        <f t="shared" si="10"/>
        <v>2026</v>
      </c>
      <c r="BS57" s="140">
        <f t="shared" ref="BS57:CB57" si="11">IF(MONTH(BS58)=1,BR57+1,BR57)</f>
        <v>2026</v>
      </c>
      <c r="BT57" s="140">
        <f t="shared" si="11"/>
        <v>2026</v>
      </c>
      <c r="BU57" s="140">
        <f t="shared" si="11"/>
        <v>2026</v>
      </c>
      <c r="BV57" s="140">
        <f t="shared" si="11"/>
        <v>2026</v>
      </c>
      <c r="BW57" s="140">
        <f t="shared" si="11"/>
        <v>2026</v>
      </c>
      <c r="BX57" s="140">
        <f t="shared" si="11"/>
        <v>2026</v>
      </c>
      <c r="BY57" s="140">
        <f t="shared" si="11"/>
        <v>2026</v>
      </c>
      <c r="BZ57" s="140">
        <f t="shared" si="11"/>
        <v>2026</v>
      </c>
      <c r="CA57" s="140">
        <f t="shared" si="11"/>
        <v>2026</v>
      </c>
      <c r="CB57" s="140">
        <f t="shared" si="11"/>
        <v>2026</v>
      </c>
    </row>
    <row r="58" spans="1:80" x14ac:dyDescent="0.25">
      <c r="A58" s="489"/>
      <c r="B58" s="496"/>
      <c r="C58" s="494"/>
      <c r="D58" s="494"/>
      <c r="E58" s="494"/>
      <c r="F58" s="367">
        <f>'Книга допущений'!B11</f>
        <v>44106</v>
      </c>
      <c r="G58" s="367">
        <f t="shared" ref="G58:AL58" si="12">EDATE(F58,ROW(A1))</f>
        <v>44137</v>
      </c>
      <c r="H58" s="367">
        <f t="shared" si="12"/>
        <v>44167</v>
      </c>
      <c r="I58" s="367">
        <f t="shared" si="12"/>
        <v>44198</v>
      </c>
      <c r="J58" s="367">
        <f t="shared" si="12"/>
        <v>44229</v>
      </c>
      <c r="K58" s="367">
        <f t="shared" si="12"/>
        <v>44257</v>
      </c>
      <c r="L58" s="367">
        <f t="shared" si="12"/>
        <v>44288</v>
      </c>
      <c r="M58" s="367">
        <f t="shared" si="12"/>
        <v>44318</v>
      </c>
      <c r="N58" s="367">
        <f t="shared" si="12"/>
        <v>44349</v>
      </c>
      <c r="O58" s="367">
        <f t="shared" si="12"/>
        <v>44379</v>
      </c>
      <c r="P58" s="367">
        <f t="shared" si="12"/>
        <v>44410</v>
      </c>
      <c r="Q58" s="367">
        <f t="shared" si="12"/>
        <v>44441</v>
      </c>
      <c r="R58" s="367">
        <f t="shared" si="12"/>
        <v>44471</v>
      </c>
      <c r="S58" s="367">
        <f t="shared" si="12"/>
        <v>44502</v>
      </c>
      <c r="T58" s="367">
        <f t="shared" si="12"/>
        <v>44532</v>
      </c>
      <c r="U58" s="367">
        <f t="shared" si="12"/>
        <v>44563</v>
      </c>
      <c r="V58" s="367">
        <f t="shared" si="12"/>
        <v>44594</v>
      </c>
      <c r="W58" s="367">
        <f t="shared" si="12"/>
        <v>44622</v>
      </c>
      <c r="X58" s="367">
        <f t="shared" si="12"/>
        <v>44653</v>
      </c>
      <c r="Y58" s="367">
        <f t="shared" si="12"/>
        <v>44683</v>
      </c>
      <c r="Z58" s="367">
        <f t="shared" si="12"/>
        <v>44714</v>
      </c>
      <c r="AA58" s="367">
        <f t="shared" si="12"/>
        <v>44744</v>
      </c>
      <c r="AB58" s="367">
        <f t="shared" si="12"/>
        <v>44775</v>
      </c>
      <c r="AC58" s="367">
        <f t="shared" si="12"/>
        <v>44806</v>
      </c>
      <c r="AD58" s="367">
        <f t="shared" si="12"/>
        <v>44836</v>
      </c>
      <c r="AE58" s="367">
        <f t="shared" si="12"/>
        <v>44867</v>
      </c>
      <c r="AF58" s="367">
        <f t="shared" si="12"/>
        <v>44897</v>
      </c>
      <c r="AG58" s="367">
        <f t="shared" si="12"/>
        <v>44928</v>
      </c>
      <c r="AH58" s="367">
        <f t="shared" si="12"/>
        <v>44959</v>
      </c>
      <c r="AI58" s="367">
        <f t="shared" si="12"/>
        <v>44987</v>
      </c>
      <c r="AJ58" s="367">
        <f t="shared" si="12"/>
        <v>45018</v>
      </c>
      <c r="AK58" s="367">
        <f t="shared" si="12"/>
        <v>45048</v>
      </c>
      <c r="AL58" s="367">
        <f t="shared" si="12"/>
        <v>45079</v>
      </c>
      <c r="AM58" s="367">
        <f t="shared" ref="AM58:BR58" si="13">EDATE(AL58,ROW(AG1))</f>
        <v>45109</v>
      </c>
      <c r="AN58" s="367">
        <f t="shared" si="13"/>
        <v>45140</v>
      </c>
      <c r="AO58" s="367">
        <f t="shared" si="13"/>
        <v>45171</v>
      </c>
      <c r="AP58" s="367">
        <f t="shared" si="13"/>
        <v>45201</v>
      </c>
      <c r="AQ58" s="367">
        <f t="shared" si="13"/>
        <v>45232</v>
      </c>
      <c r="AR58" s="367">
        <f t="shared" si="13"/>
        <v>45262</v>
      </c>
      <c r="AS58" s="367">
        <f t="shared" si="13"/>
        <v>45293</v>
      </c>
      <c r="AT58" s="367">
        <f t="shared" si="13"/>
        <v>45324</v>
      </c>
      <c r="AU58" s="367">
        <f t="shared" si="13"/>
        <v>45353</v>
      </c>
      <c r="AV58" s="367">
        <f t="shared" si="13"/>
        <v>45384</v>
      </c>
      <c r="AW58" s="367">
        <f t="shared" si="13"/>
        <v>45414</v>
      </c>
      <c r="AX58" s="367">
        <f t="shared" si="13"/>
        <v>45445</v>
      </c>
      <c r="AY58" s="367">
        <f t="shared" si="13"/>
        <v>45475</v>
      </c>
      <c r="AZ58" s="367">
        <f t="shared" si="13"/>
        <v>45506</v>
      </c>
      <c r="BA58" s="367">
        <f t="shared" si="13"/>
        <v>45537</v>
      </c>
      <c r="BB58" s="367">
        <f t="shared" si="13"/>
        <v>45567</v>
      </c>
      <c r="BC58" s="367">
        <f t="shared" si="13"/>
        <v>45598</v>
      </c>
      <c r="BD58" s="367">
        <f t="shared" si="13"/>
        <v>45628</v>
      </c>
      <c r="BE58" s="367">
        <f t="shared" si="13"/>
        <v>45659</v>
      </c>
      <c r="BF58" s="367">
        <f t="shared" si="13"/>
        <v>45690</v>
      </c>
      <c r="BG58" s="367">
        <f t="shared" si="13"/>
        <v>45718</v>
      </c>
      <c r="BH58" s="367">
        <f t="shared" si="13"/>
        <v>45749</v>
      </c>
      <c r="BI58" s="367">
        <f t="shared" si="13"/>
        <v>45779</v>
      </c>
      <c r="BJ58" s="367">
        <f t="shared" si="13"/>
        <v>45810</v>
      </c>
      <c r="BK58" s="367">
        <f t="shared" si="13"/>
        <v>45840</v>
      </c>
      <c r="BL58" s="367">
        <f t="shared" si="13"/>
        <v>45871</v>
      </c>
      <c r="BM58" s="367">
        <f t="shared" si="13"/>
        <v>45902</v>
      </c>
      <c r="BN58" s="367">
        <f t="shared" si="13"/>
        <v>45932</v>
      </c>
      <c r="BO58" s="367">
        <f t="shared" si="13"/>
        <v>45963</v>
      </c>
      <c r="BP58" s="367">
        <f t="shared" si="13"/>
        <v>45993</v>
      </c>
      <c r="BQ58" s="367">
        <f t="shared" si="13"/>
        <v>46024</v>
      </c>
      <c r="BR58" s="367">
        <f t="shared" si="13"/>
        <v>46055</v>
      </c>
      <c r="BS58" s="367">
        <f t="shared" ref="BS58:CB58" si="14">EDATE(BR58,ROW(BM1))</f>
        <v>46083</v>
      </c>
      <c r="BT58" s="367">
        <f t="shared" si="14"/>
        <v>46114</v>
      </c>
      <c r="BU58" s="367">
        <f t="shared" si="14"/>
        <v>46144</v>
      </c>
      <c r="BV58" s="367">
        <f t="shared" si="14"/>
        <v>46175</v>
      </c>
      <c r="BW58" s="367">
        <f t="shared" si="14"/>
        <v>46205</v>
      </c>
      <c r="BX58" s="367">
        <f t="shared" si="14"/>
        <v>46236</v>
      </c>
      <c r="BY58" s="367">
        <f t="shared" si="14"/>
        <v>46267</v>
      </c>
      <c r="BZ58" s="367">
        <f t="shared" si="14"/>
        <v>46297</v>
      </c>
      <c r="CA58" s="367">
        <f t="shared" si="14"/>
        <v>46328</v>
      </c>
      <c r="CB58" s="367">
        <f t="shared" si="14"/>
        <v>46358</v>
      </c>
    </row>
    <row r="59" spans="1:80" x14ac:dyDescent="0.25">
      <c r="A59" s="340">
        <v>1</v>
      </c>
      <c r="B59" s="398" t="str">
        <f t="shared" ref="B59:C70" si="15">B12</f>
        <v>Инженерные сети</v>
      </c>
      <c r="C59" s="128">
        <f t="shared" si="15"/>
        <v>2426.8868928000002</v>
      </c>
      <c r="D59" s="128">
        <f>'Книга допущений'!G69</f>
        <v>120</v>
      </c>
      <c r="E59" s="399">
        <f>1/D59</f>
        <v>8.3333333333333332E-3</v>
      </c>
      <c r="F59" s="122">
        <v>0</v>
      </c>
      <c r="G59" s="122">
        <v>0</v>
      </c>
      <c r="H59" s="122">
        <v>0</v>
      </c>
      <c r="I59" s="122">
        <v>0</v>
      </c>
      <c r="J59" s="122">
        <v>0</v>
      </c>
      <c r="K59" s="122">
        <v>0</v>
      </c>
      <c r="L59" s="122">
        <v>0</v>
      </c>
      <c r="M59" s="122">
        <v>0</v>
      </c>
      <c r="N59" s="122">
        <v>0</v>
      </c>
      <c r="O59" s="122">
        <f>IF(SUM($F59:N59)&lt;$C59,$C59*$E59,0)</f>
        <v>20.224057440000003</v>
      </c>
      <c r="P59" s="122">
        <f>IF(SUM($F59:O59)&lt;$C59,$C59*$E59,0)</f>
        <v>20.224057440000003</v>
      </c>
      <c r="Q59" s="122">
        <f>IF(SUM($F59:P59)&lt;$C59,$C59*$E59,0)</f>
        <v>20.224057440000003</v>
      </c>
      <c r="R59" s="122">
        <f>IF(SUM($F59:Q59)&lt;$C59,$C59*$E59,0)</f>
        <v>20.224057440000003</v>
      </c>
      <c r="S59" s="122">
        <f>IF(SUM($F59:R59)&lt;$C59,$C59*$E59,0)</f>
        <v>20.224057440000003</v>
      </c>
      <c r="T59" s="122">
        <f>IF(SUM($F59:S59)&lt;$C59,$C59*$E59,0)</f>
        <v>20.224057440000003</v>
      </c>
      <c r="U59" s="122">
        <f>IF(SUM($F59:T59)&lt;$C59,$C59*$E59,0)</f>
        <v>20.224057440000003</v>
      </c>
      <c r="V59" s="122">
        <f>IF(SUM($F59:U59)&lt;$C59,$C59*$E59,0)</f>
        <v>20.224057440000003</v>
      </c>
      <c r="W59" s="122">
        <f>IF(SUM($F59:V59)&lt;$C59,$C59*$E59,0)</f>
        <v>20.224057440000003</v>
      </c>
      <c r="X59" s="122">
        <f>IF(SUM($F59:W59)&lt;$C59,$C59*$E59,0)</f>
        <v>20.224057440000003</v>
      </c>
      <c r="Y59" s="122">
        <f>IF(SUM($F59:X59)&lt;$C59,$C59*$E59,0)</f>
        <v>20.224057440000003</v>
      </c>
      <c r="Z59" s="122">
        <f>IF(SUM($F59:Y59)&lt;$C59,$C59*$E59,0)</f>
        <v>20.224057440000003</v>
      </c>
      <c r="AA59" s="122">
        <f>IF(SUM($F59:Z59)&lt;$C59,$C59*$E59,0)</f>
        <v>20.224057440000003</v>
      </c>
      <c r="AB59" s="122">
        <f>IF(SUM($F59:AA59)&lt;$C59,$C59*$E59,0)</f>
        <v>20.224057440000003</v>
      </c>
      <c r="AC59" s="122">
        <f>IF(SUM($F59:AB59)&lt;$C59,$C59*$E59,0)</f>
        <v>20.224057440000003</v>
      </c>
      <c r="AD59" s="122">
        <f>IF(SUM($F59:AC59)&lt;$C59,$C59*$E59,0)</f>
        <v>20.224057440000003</v>
      </c>
      <c r="AE59" s="122">
        <f>IF(SUM($F59:AD59)&lt;$C59,$C59*$E59,0)</f>
        <v>20.224057440000003</v>
      </c>
      <c r="AF59" s="122">
        <f>IF(SUM($F59:AE59)&lt;$C59,$C59*$E59,0)</f>
        <v>20.224057440000003</v>
      </c>
      <c r="AG59" s="122">
        <f>IF(SUM($F59:AF59)&lt;$C59,$C59*$E59,0)</f>
        <v>20.224057440000003</v>
      </c>
      <c r="AH59" s="122">
        <f>IF(SUM($F59:AG59)&lt;$C59,$C59*$E59,0)</f>
        <v>20.224057440000003</v>
      </c>
      <c r="AI59" s="122">
        <f>IF(SUM($F59:AH59)&lt;$C59,$C59*$E59,0)</f>
        <v>20.224057440000003</v>
      </c>
      <c r="AJ59" s="122">
        <f>IF(SUM($F59:AI59)&lt;$C59,$C59*$E59,0)</f>
        <v>20.224057440000003</v>
      </c>
      <c r="AK59" s="122">
        <f>IF(SUM($F59:AJ59)&lt;$C59,$C59*$E59,0)</f>
        <v>20.224057440000003</v>
      </c>
      <c r="AL59" s="122">
        <f>IF(SUM($F59:AK59)&lt;$C59,$C59*$E59,0)</f>
        <v>20.224057440000003</v>
      </c>
      <c r="AM59" s="122">
        <f>IF(SUM($F59:AL59)&lt;$C59,$C59*$E59,0)</f>
        <v>20.224057440000003</v>
      </c>
      <c r="AN59" s="122">
        <f>IF(SUM($F59:AM59)&lt;$C59,$C59*$E59,0)</f>
        <v>20.224057440000003</v>
      </c>
      <c r="AO59" s="122">
        <f>IF(SUM($F59:AN59)&lt;$C59,$C59*$E59,0)</f>
        <v>20.224057440000003</v>
      </c>
      <c r="AP59" s="122">
        <f>IF(SUM($F59:AO59)&lt;$C59,$C59*$E59,0)</f>
        <v>20.224057440000003</v>
      </c>
      <c r="AQ59" s="122">
        <f>IF(SUM($F59:AP59)&lt;$C59,$C59*$E59,0)</f>
        <v>20.224057440000003</v>
      </c>
      <c r="AR59" s="122">
        <f>IF(SUM($F59:AQ59)&lt;$C59,$C59*$E59,0)</f>
        <v>20.224057440000003</v>
      </c>
      <c r="AS59" s="122">
        <f>IF(SUM($F59:AR59)&lt;$C59,$C59*$E59,0)</f>
        <v>20.224057440000003</v>
      </c>
      <c r="AT59" s="122">
        <f>IF(SUM($F59:AS59)&lt;$C59,$C59*$E59,0)</f>
        <v>20.224057440000003</v>
      </c>
      <c r="AU59" s="122">
        <f>IF(SUM($F59:AT59)&lt;$C59,$C59*$E59,0)</f>
        <v>20.224057440000003</v>
      </c>
      <c r="AV59" s="122">
        <f>IF(SUM($F59:AU59)&lt;$C59,$C59*$E59,0)</f>
        <v>20.224057440000003</v>
      </c>
      <c r="AW59" s="122">
        <f>IF(SUM($F59:AV59)&lt;$C59,$C59*$E59,0)</f>
        <v>20.224057440000003</v>
      </c>
      <c r="AX59" s="122">
        <f>IF(SUM($F59:AW59)&lt;$C59,$C59*$E59,0)</f>
        <v>20.224057440000003</v>
      </c>
      <c r="AY59" s="122">
        <f>IF(SUM($F59:AX59)&lt;$C59,$C59*$E59,0)</f>
        <v>20.224057440000003</v>
      </c>
      <c r="AZ59" s="122">
        <f>IF(SUM($F59:AY59)&lt;$C59,$C59*$E59,0)</f>
        <v>20.224057440000003</v>
      </c>
      <c r="BA59" s="122">
        <f>IF(SUM($F59:AZ59)&lt;$C59,$C59*$E59,0)</f>
        <v>20.224057440000003</v>
      </c>
      <c r="BB59" s="122">
        <f>IF(SUM($F59:BA59)&lt;$C59,$C59*$E59,0)</f>
        <v>20.224057440000003</v>
      </c>
      <c r="BC59" s="122">
        <f>IF(SUM($F59:BB59)&lt;$C59,$C59*$E59,0)</f>
        <v>20.224057440000003</v>
      </c>
      <c r="BD59" s="122">
        <f>IF(SUM($F59:BC59)&lt;$C59,$C59*$E59,0)</f>
        <v>20.224057440000003</v>
      </c>
      <c r="BE59" s="122">
        <f>IF(SUM($F59:BD59)&lt;$C59,$C59*$E59,0)</f>
        <v>20.224057440000003</v>
      </c>
      <c r="BF59" s="122">
        <f>IF(SUM($F59:BE59)&lt;$C59,$C59*$E59,0)</f>
        <v>20.224057440000003</v>
      </c>
      <c r="BG59" s="122">
        <f>IF(SUM($F59:BF59)&lt;$C59,$C59*$E59,0)</f>
        <v>20.224057440000003</v>
      </c>
      <c r="BH59" s="122">
        <f>IF(SUM($F59:BG59)&lt;$C59,$C59*$E59,0)</f>
        <v>20.224057440000003</v>
      </c>
      <c r="BI59" s="122">
        <f>IF(SUM($F59:BH59)&lt;$C59,$C59*$E59,0)</f>
        <v>20.224057440000003</v>
      </c>
      <c r="BJ59" s="122">
        <f>IF(SUM($F59:BI59)&lt;$C59,$C59*$E59,0)</f>
        <v>20.224057440000003</v>
      </c>
      <c r="BK59" s="122">
        <f>IF(SUM($F59:BJ59)&lt;$C59,$C59*$E59,0)</f>
        <v>20.224057440000003</v>
      </c>
      <c r="BL59" s="122">
        <f>IF(SUM($F59:BK59)&lt;$C59,$C59*$E59,0)</f>
        <v>20.224057440000003</v>
      </c>
      <c r="BM59" s="122">
        <f>IF(SUM($F59:BL59)&lt;$C59,$C59*$E59,0)</f>
        <v>20.224057440000003</v>
      </c>
      <c r="BN59" s="122">
        <f>IF(SUM($F59:BM59)&lt;$C59,$C59*$E59,0)</f>
        <v>20.224057440000003</v>
      </c>
      <c r="BO59" s="122">
        <f>IF(SUM($F59:BN59)&lt;$C59,$C59*$E59,0)</f>
        <v>20.224057440000003</v>
      </c>
      <c r="BP59" s="122">
        <f>IF(SUM($F59:BO59)&lt;$C59,$C59*$E59,0)</f>
        <v>20.224057440000003</v>
      </c>
      <c r="BQ59" s="122">
        <f>IF(SUM($F59:BP59)&lt;$C59,$C59*$E59,0)</f>
        <v>20.224057440000003</v>
      </c>
      <c r="BR59" s="122">
        <f>IF(SUM($F59:BQ59)&lt;$C59,$C59*$E59,0)</f>
        <v>20.224057440000003</v>
      </c>
      <c r="BS59" s="122">
        <f>IF(SUM($F59:BR59)&lt;$C59,$C59*$E59,0)</f>
        <v>20.224057440000003</v>
      </c>
      <c r="BT59" s="122">
        <f>IF(SUM($F59:BS59)&lt;$C59,$C59*$E59,0)</f>
        <v>20.224057440000003</v>
      </c>
      <c r="BU59" s="122">
        <f>IF(SUM($F59:BT59)&lt;$C59,$C59*$E59,0)</f>
        <v>20.224057440000003</v>
      </c>
      <c r="BV59" s="122">
        <f>IF(SUM($F59:BU59)&lt;$C59,$C59*$E59,0)</f>
        <v>20.224057440000003</v>
      </c>
      <c r="BW59" s="122">
        <f>IF(SUM($F59:BV59)&lt;$C59,$C59*$E59,0)</f>
        <v>20.224057440000003</v>
      </c>
      <c r="BX59" s="122">
        <f>IF(SUM($F59:BW59)&lt;$C59,$C59*$E59,0)</f>
        <v>20.224057440000003</v>
      </c>
      <c r="BY59" s="122">
        <f>IF(SUM($F59:BX59)&lt;$C59,$C59*$E59,0)</f>
        <v>20.224057440000003</v>
      </c>
      <c r="BZ59" s="122">
        <f>IF(SUM($F59:BY59)&lt;$C59,$C59*$E59,0)</f>
        <v>20.224057440000003</v>
      </c>
      <c r="CA59" s="122">
        <f>IF(SUM($F59:BZ59)&lt;$C59,$C59*$E59,0)</f>
        <v>20.224057440000003</v>
      </c>
      <c r="CB59" s="122">
        <f>IF(SUM($F59:CA59)&lt;$C59,$C59*$E59,0)</f>
        <v>20.224057440000003</v>
      </c>
    </row>
    <row r="60" spans="1:80" x14ac:dyDescent="0.25">
      <c r="A60" s="340">
        <v>2</v>
      </c>
      <c r="B60" s="398" t="str">
        <f t="shared" si="15"/>
        <v>Гостевые домики</v>
      </c>
      <c r="C60" s="128">
        <f t="shared" si="15"/>
        <v>55996.229760000002</v>
      </c>
      <c r="D60" s="128">
        <f>'Книга допущений'!G44</f>
        <v>120</v>
      </c>
      <c r="E60" s="399">
        <f t="shared" ref="E60:E70" si="16">1/D60</f>
        <v>8.3333333333333332E-3</v>
      </c>
      <c r="F60" s="122">
        <v>0</v>
      </c>
      <c r="G60" s="122">
        <v>0</v>
      </c>
      <c r="H60" s="122">
        <v>0</v>
      </c>
      <c r="I60" s="122">
        <v>0</v>
      </c>
      <c r="J60" s="122">
        <v>0</v>
      </c>
      <c r="K60" s="122">
        <v>0</v>
      </c>
      <c r="L60" s="122">
        <v>0</v>
      </c>
      <c r="M60" s="122">
        <v>0</v>
      </c>
      <c r="N60" s="122">
        <v>0</v>
      </c>
      <c r="O60" s="122">
        <f>IF(SUM($F60:N60)&lt;$C60,$C60*$E60,0)</f>
        <v>466.63524799999999</v>
      </c>
      <c r="P60" s="122">
        <f>IF(SUM($F60:O60)&lt;$C60,$C60*$E60,0)</f>
        <v>466.63524799999999</v>
      </c>
      <c r="Q60" s="122">
        <f>IF(SUM($F60:P60)&lt;$C60,$C60*$E60,0)</f>
        <v>466.63524799999999</v>
      </c>
      <c r="R60" s="122">
        <f>IF(SUM($F60:Q60)&lt;$C60,$C60*$E60,0)</f>
        <v>466.63524799999999</v>
      </c>
      <c r="S60" s="122">
        <f>IF(SUM($F60:R60)&lt;$C60,$C60*$E60,0)</f>
        <v>466.63524799999999</v>
      </c>
      <c r="T60" s="122">
        <f>IF(SUM($F60:S60)&lt;$C60,$C60*$E60,0)</f>
        <v>466.63524799999999</v>
      </c>
      <c r="U60" s="122">
        <f>IF(SUM($F60:T60)&lt;$C60,$C60*$E60,0)</f>
        <v>466.63524799999999</v>
      </c>
      <c r="V60" s="122">
        <f>IF(SUM($F60:U60)&lt;$C60,$C60*$E60,0)</f>
        <v>466.63524799999999</v>
      </c>
      <c r="W60" s="122">
        <f>IF(SUM($F60:V60)&lt;$C60,$C60*$E60,0)</f>
        <v>466.63524799999999</v>
      </c>
      <c r="X60" s="122">
        <f>IF(SUM($F60:W60)&lt;$C60,$C60*$E60,0)</f>
        <v>466.63524799999999</v>
      </c>
      <c r="Y60" s="122">
        <f>IF(SUM($F60:X60)&lt;$C60,$C60*$E60,0)</f>
        <v>466.63524799999999</v>
      </c>
      <c r="Z60" s="122">
        <f>IF(SUM($F60:Y60)&lt;$C60,$C60*$E60,0)</f>
        <v>466.63524799999999</v>
      </c>
      <c r="AA60" s="122">
        <f>IF(SUM($F60:Z60)&lt;$C60,$C60*$E60,0)</f>
        <v>466.63524799999999</v>
      </c>
      <c r="AB60" s="122">
        <f>IF(SUM($F60:AA60)&lt;$C60,$C60*$E60,0)</f>
        <v>466.63524799999999</v>
      </c>
      <c r="AC60" s="122">
        <f>IF(SUM($F60:AB60)&lt;$C60,$C60*$E60,0)</f>
        <v>466.63524799999999</v>
      </c>
      <c r="AD60" s="122">
        <f>IF(SUM($F60:AC60)&lt;$C60,$C60*$E60,0)</f>
        <v>466.63524799999999</v>
      </c>
      <c r="AE60" s="122">
        <f>IF(SUM($F60:AD60)&lt;$C60,$C60*$E60,0)</f>
        <v>466.63524799999999</v>
      </c>
      <c r="AF60" s="122">
        <f>IF(SUM($F60:AE60)&lt;$C60,$C60*$E60,0)</f>
        <v>466.63524799999999</v>
      </c>
      <c r="AG60" s="122">
        <f>IF(SUM($F60:AF60)&lt;$C60,$C60*$E60,0)</f>
        <v>466.63524799999999</v>
      </c>
      <c r="AH60" s="122">
        <f>IF(SUM($F60:AG60)&lt;$C60,$C60*$E60,0)</f>
        <v>466.63524799999999</v>
      </c>
      <c r="AI60" s="122">
        <f>IF(SUM($F60:AH60)&lt;$C60,$C60*$E60,0)</f>
        <v>466.63524799999999</v>
      </c>
      <c r="AJ60" s="122">
        <f>IF(SUM($F60:AI60)&lt;$C60,$C60*$E60,0)</f>
        <v>466.63524799999999</v>
      </c>
      <c r="AK60" s="122">
        <f>IF(SUM($F60:AJ60)&lt;$C60,$C60*$E60,0)</f>
        <v>466.63524799999999</v>
      </c>
      <c r="AL60" s="122">
        <f>IF(SUM($F60:AK60)&lt;$C60,$C60*$E60,0)</f>
        <v>466.63524799999999</v>
      </c>
      <c r="AM60" s="122">
        <f>IF(SUM($F60:AL60)&lt;$C60,$C60*$E60,0)</f>
        <v>466.63524799999999</v>
      </c>
      <c r="AN60" s="122">
        <f>IF(SUM($F60:AM60)&lt;$C60,$C60*$E60,0)</f>
        <v>466.63524799999999</v>
      </c>
      <c r="AO60" s="122">
        <f>IF(SUM($F60:AN60)&lt;$C60,$C60*$E60,0)</f>
        <v>466.63524799999999</v>
      </c>
      <c r="AP60" s="122">
        <f>IF(SUM($F60:AO60)&lt;$C60,$C60*$E60,0)</f>
        <v>466.63524799999999</v>
      </c>
      <c r="AQ60" s="122">
        <f>IF(SUM($F60:AP60)&lt;$C60,$C60*$E60,0)</f>
        <v>466.63524799999999</v>
      </c>
      <c r="AR60" s="122">
        <f>IF(SUM($F60:AQ60)&lt;$C60,$C60*$E60,0)</f>
        <v>466.63524799999999</v>
      </c>
      <c r="AS60" s="122">
        <f>IF(SUM($F60:AR60)&lt;$C60,$C60*$E60,0)</f>
        <v>466.63524799999999</v>
      </c>
      <c r="AT60" s="122">
        <f>IF(SUM($F60:AS60)&lt;$C60,$C60*$E60,0)</f>
        <v>466.63524799999999</v>
      </c>
      <c r="AU60" s="122">
        <f>IF(SUM($F60:AT60)&lt;$C60,$C60*$E60,0)</f>
        <v>466.63524799999999</v>
      </c>
      <c r="AV60" s="122">
        <f>IF(SUM($F60:AU60)&lt;$C60,$C60*$E60,0)</f>
        <v>466.63524799999999</v>
      </c>
      <c r="AW60" s="122">
        <f>IF(SUM($F60:AV60)&lt;$C60,$C60*$E60,0)</f>
        <v>466.63524799999999</v>
      </c>
      <c r="AX60" s="122">
        <f>IF(SUM($F60:AW60)&lt;$C60,$C60*$E60,0)</f>
        <v>466.63524799999999</v>
      </c>
      <c r="AY60" s="122">
        <f>IF(SUM($F60:AX60)&lt;$C60,$C60*$E60,0)</f>
        <v>466.63524799999999</v>
      </c>
      <c r="AZ60" s="122">
        <f>IF(SUM($F60:AY60)&lt;$C60,$C60*$E60,0)</f>
        <v>466.63524799999999</v>
      </c>
      <c r="BA60" s="122">
        <f>IF(SUM($F60:AZ60)&lt;$C60,$C60*$E60,0)</f>
        <v>466.63524799999999</v>
      </c>
      <c r="BB60" s="122">
        <f>IF(SUM($F60:BA60)&lt;$C60,$C60*$E60,0)</f>
        <v>466.63524799999999</v>
      </c>
      <c r="BC60" s="122">
        <f>IF(SUM($F60:BB60)&lt;$C60,$C60*$E60,0)</f>
        <v>466.63524799999999</v>
      </c>
      <c r="BD60" s="122">
        <f>IF(SUM($F60:BC60)&lt;$C60,$C60*$E60,0)</f>
        <v>466.63524799999999</v>
      </c>
      <c r="BE60" s="122">
        <f>IF(SUM($F60:BD60)&lt;$C60,$C60*$E60,0)</f>
        <v>466.63524799999999</v>
      </c>
      <c r="BF60" s="122">
        <f>IF(SUM($F60:BE60)&lt;$C60,$C60*$E60,0)</f>
        <v>466.63524799999999</v>
      </c>
      <c r="BG60" s="122">
        <f>IF(SUM($F60:BF60)&lt;$C60,$C60*$E60,0)</f>
        <v>466.63524799999999</v>
      </c>
      <c r="BH60" s="122">
        <f>IF(SUM($F60:BG60)&lt;$C60,$C60*$E60,0)</f>
        <v>466.63524799999999</v>
      </c>
      <c r="BI60" s="122">
        <f>IF(SUM($F60:BH60)&lt;$C60,$C60*$E60,0)</f>
        <v>466.63524799999999</v>
      </c>
      <c r="BJ60" s="122">
        <f>IF(SUM($F60:BI60)&lt;$C60,$C60*$E60,0)</f>
        <v>466.63524799999999</v>
      </c>
      <c r="BK60" s="122">
        <f>IF(SUM($F60:BJ60)&lt;$C60,$C60*$E60,0)</f>
        <v>466.63524799999999</v>
      </c>
      <c r="BL60" s="122">
        <f>IF(SUM($F60:BK60)&lt;$C60,$C60*$E60,0)</f>
        <v>466.63524799999999</v>
      </c>
      <c r="BM60" s="122">
        <f>IF(SUM($F60:BL60)&lt;$C60,$C60*$E60,0)</f>
        <v>466.63524799999999</v>
      </c>
      <c r="BN60" s="122">
        <f>IF(SUM($F60:BM60)&lt;$C60,$C60*$E60,0)</f>
        <v>466.63524799999999</v>
      </c>
      <c r="BO60" s="122">
        <f>IF(SUM($F60:BN60)&lt;$C60,$C60*$E60,0)</f>
        <v>466.63524799999999</v>
      </c>
      <c r="BP60" s="122">
        <f>IF(SUM($F60:BO60)&lt;$C60,$C60*$E60,0)</f>
        <v>466.63524799999999</v>
      </c>
      <c r="BQ60" s="122">
        <f>IF(SUM($F60:BP60)&lt;$C60,$C60*$E60,0)</f>
        <v>466.63524799999999</v>
      </c>
      <c r="BR60" s="122">
        <f>IF(SUM($F60:BQ60)&lt;$C60,$C60*$E60,0)</f>
        <v>466.63524799999999</v>
      </c>
      <c r="BS60" s="122">
        <f>IF(SUM($F60:BR60)&lt;$C60,$C60*$E60,0)</f>
        <v>466.63524799999999</v>
      </c>
      <c r="BT60" s="122">
        <f>IF(SUM($F60:BS60)&lt;$C60,$C60*$E60,0)</f>
        <v>466.63524799999999</v>
      </c>
      <c r="BU60" s="122">
        <f>IF(SUM($F60:BT60)&lt;$C60,$C60*$E60,0)</f>
        <v>466.63524799999999</v>
      </c>
      <c r="BV60" s="122">
        <f>IF(SUM($F60:BU60)&lt;$C60,$C60*$E60,0)</f>
        <v>466.63524799999999</v>
      </c>
      <c r="BW60" s="122">
        <f>IF(SUM($F60:BV60)&lt;$C60,$C60*$E60,0)</f>
        <v>466.63524799999999</v>
      </c>
      <c r="BX60" s="122">
        <f>IF(SUM($F60:BW60)&lt;$C60,$C60*$E60,0)</f>
        <v>466.63524799999999</v>
      </c>
      <c r="BY60" s="122">
        <f>IF(SUM($F60:BX60)&lt;$C60,$C60*$E60,0)</f>
        <v>466.63524799999999</v>
      </c>
      <c r="BZ60" s="122">
        <f>IF(SUM($F60:BY60)&lt;$C60,$C60*$E60,0)</f>
        <v>466.63524799999999</v>
      </c>
      <c r="CA60" s="122">
        <f>IF(SUM($F60:BZ60)&lt;$C60,$C60*$E60,0)</f>
        <v>466.63524799999999</v>
      </c>
      <c r="CB60" s="122">
        <f>IF(SUM($F60:CA60)&lt;$C60,$C60*$E60,0)</f>
        <v>466.63524799999999</v>
      </c>
    </row>
    <row r="61" spans="1:80" x14ac:dyDescent="0.25">
      <c r="A61" s="340">
        <v>3</v>
      </c>
      <c r="B61" s="398" t="str">
        <f t="shared" si="15"/>
        <v>Администрация</v>
      </c>
      <c r="C61" s="128">
        <f t="shared" si="15"/>
        <v>2500</v>
      </c>
      <c r="D61" s="128">
        <f>'Книга допущений'!G47</f>
        <v>120</v>
      </c>
      <c r="E61" s="399">
        <f t="shared" si="16"/>
        <v>8.3333333333333332E-3</v>
      </c>
      <c r="F61" s="122">
        <v>0</v>
      </c>
      <c r="G61" s="122">
        <v>0</v>
      </c>
      <c r="H61" s="122">
        <v>0</v>
      </c>
      <c r="I61" s="122">
        <v>0</v>
      </c>
      <c r="J61" s="122">
        <v>0</v>
      </c>
      <c r="K61" s="122">
        <v>0</v>
      </c>
      <c r="L61" s="122">
        <v>0</v>
      </c>
      <c r="M61" s="122">
        <v>0</v>
      </c>
      <c r="N61" s="122">
        <v>0</v>
      </c>
      <c r="O61" s="122">
        <f>IF(SUM($F61:N61)&lt;$C61,$C61*$E61,0)</f>
        <v>20.833333333333332</v>
      </c>
      <c r="P61" s="122">
        <f>IF(SUM($F61:O61)&lt;$C61,$C61*$E61,0)</f>
        <v>20.833333333333332</v>
      </c>
      <c r="Q61" s="122">
        <f>IF(SUM($F61:P61)&lt;$C61,$C61*$E61,0)</f>
        <v>20.833333333333332</v>
      </c>
      <c r="R61" s="122">
        <f>IF(SUM($F61:Q61)&lt;$C61,$C61*$E61,0)</f>
        <v>20.833333333333332</v>
      </c>
      <c r="S61" s="122">
        <f>IF(SUM($F61:R61)&lt;$C61,$C61*$E61,0)</f>
        <v>20.833333333333332</v>
      </c>
      <c r="T61" s="122">
        <f>IF(SUM($F61:S61)&lt;$C61,$C61*$E61,0)</f>
        <v>20.833333333333332</v>
      </c>
      <c r="U61" s="122">
        <f>IF(SUM($F61:T61)&lt;$C61,$C61*$E61,0)</f>
        <v>20.833333333333332</v>
      </c>
      <c r="V61" s="122">
        <f>IF(SUM($F61:U61)&lt;$C61,$C61*$E61,0)</f>
        <v>20.833333333333332</v>
      </c>
      <c r="W61" s="122">
        <f>IF(SUM($F61:V61)&lt;$C61,$C61*$E61,0)</f>
        <v>20.833333333333332</v>
      </c>
      <c r="X61" s="122">
        <f>IF(SUM($F61:W61)&lt;$C61,$C61*$E61,0)</f>
        <v>20.833333333333332</v>
      </c>
      <c r="Y61" s="122">
        <f>IF(SUM($F61:X61)&lt;$C61,$C61*$E61,0)</f>
        <v>20.833333333333332</v>
      </c>
      <c r="Z61" s="122">
        <f>IF(SUM($F61:Y61)&lt;$C61,$C61*$E61,0)</f>
        <v>20.833333333333332</v>
      </c>
      <c r="AA61" s="122">
        <f>IF(SUM($F61:Z61)&lt;$C61,$C61*$E61,0)</f>
        <v>20.833333333333332</v>
      </c>
      <c r="AB61" s="122">
        <f>IF(SUM($F61:AA61)&lt;$C61,$C61*$E61,0)</f>
        <v>20.833333333333332</v>
      </c>
      <c r="AC61" s="122">
        <f>IF(SUM($F61:AB61)&lt;$C61,$C61*$E61,0)</f>
        <v>20.833333333333332</v>
      </c>
      <c r="AD61" s="122">
        <f>IF(SUM($F61:AC61)&lt;$C61,$C61*$E61,0)</f>
        <v>20.833333333333332</v>
      </c>
      <c r="AE61" s="122">
        <f>IF(SUM($F61:AD61)&lt;$C61,$C61*$E61,0)</f>
        <v>20.833333333333332</v>
      </c>
      <c r="AF61" s="122">
        <f>IF(SUM($F61:AE61)&lt;$C61,$C61*$E61,0)</f>
        <v>20.833333333333332</v>
      </c>
      <c r="AG61" s="122">
        <f>IF(SUM($F61:AF61)&lt;$C61,$C61*$E61,0)</f>
        <v>20.833333333333332</v>
      </c>
      <c r="AH61" s="122">
        <f>IF(SUM($F61:AG61)&lt;$C61,$C61*$E61,0)</f>
        <v>20.833333333333332</v>
      </c>
      <c r="AI61" s="122">
        <f>IF(SUM($F61:AH61)&lt;$C61,$C61*$E61,0)</f>
        <v>20.833333333333332</v>
      </c>
      <c r="AJ61" s="122">
        <f>IF(SUM($F61:AI61)&lt;$C61,$C61*$E61,0)</f>
        <v>20.833333333333332</v>
      </c>
      <c r="AK61" s="122">
        <f>IF(SUM($F61:AJ61)&lt;$C61,$C61*$E61,0)</f>
        <v>20.833333333333332</v>
      </c>
      <c r="AL61" s="122">
        <f>IF(SUM($F61:AK61)&lt;$C61,$C61*$E61,0)</f>
        <v>20.833333333333332</v>
      </c>
      <c r="AM61" s="122">
        <f>IF(SUM($F61:AL61)&lt;$C61,$C61*$E61,0)</f>
        <v>20.833333333333332</v>
      </c>
      <c r="AN61" s="122">
        <f>IF(SUM($F61:AM61)&lt;$C61,$C61*$E61,0)</f>
        <v>20.833333333333332</v>
      </c>
      <c r="AO61" s="122">
        <f>IF(SUM($F61:AN61)&lt;$C61,$C61*$E61,0)</f>
        <v>20.833333333333332</v>
      </c>
      <c r="AP61" s="122">
        <f>IF(SUM($F61:AO61)&lt;$C61,$C61*$E61,0)</f>
        <v>20.833333333333332</v>
      </c>
      <c r="AQ61" s="122">
        <f>IF(SUM($F61:AP61)&lt;$C61,$C61*$E61,0)</f>
        <v>20.833333333333332</v>
      </c>
      <c r="AR61" s="122">
        <f>IF(SUM($F61:AQ61)&lt;$C61,$C61*$E61,0)</f>
        <v>20.833333333333332</v>
      </c>
      <c r="AS61" s="122">
        <f>IF(SUM($F61:AR61)&lt;$C61,$C61*$E61,0)</f>
        <v>20.833333333333332</v>
      </c>
      <c r="AT61" s="122">
        <f>IF(SUM($F61:AS61)&lt;$C61,$C61*$E61,0)</f>
        <v>20.833333333333332</v>
      </c>
      <c r="AU61" s="122">
        <f>IF(SUM($F61:AT61)&lt;$C61,$C61*$E61,0)</f>
        <v>20.833333333333332</v>
      </c>
      <c r="AV61" s="122">
        <f>IF(SUM($F61:AU61)&lt;$C61,$C61*$E61,0)</f>
        <v>20.833333333333332</v>
      </c>
      <c r="AW61" s="122">
        <f>IF(SUM($F61:AV61)&lt;$C61,$C61*$E61,0)</f>
        <v>20.833333333333332</v>
      </c>
      <c r="AX61" s="122">
        <f>IF(SUM($F61:AW61)&lt;$C61,$C61*$E61,0)</f>
        <v>20.833333333333332</v>
      </c>
      <c r="AY61" s="122">
        <f>IF(SUM($F61:AX61)&lt;$C61,$C61*$E61,0)</f>
        <v>20.833333333333332</v>
      </c>
      <c r="AZ61" s="122">
        <f>IF(SUM($F61:AY61)&lt;$C61,$C61*$E61,0)</f>
        <v>20.833333333333332</v>
      </c>
      <c r="BA61" s="122">
        <f>IF(SUM($F61:AZ61)&lt;$C61,$C61*$E61,0)</f>
        <v>20.833333333333332</v>
      </c>
      <c r="BB61" s="122">
        <f>IF(SUM($F61:BA61)&lt;$C61,$C61*$E61,0)</f>
        <v>20.833333333333332</v>
      </c>
      <c r="BC61" s="122">
        <f>IF(SUM($F61:BB61)&lt;$C61,$C61*$E61,0)</f>
        <v>20.833333333333332</v>
      </c>
      <c r="BD61" s="122">
        <f>IF(SUM($F61:BC61)&lt;$C61,$C61*$E61,0)</f>
        <v>20.833333333333332</v>
      </c>
      <c r="BE61" s="122">
        <f>IF(SUM($F61:BD61)&lt;$C61,$C61*$E61,0)</f>
        <v>20.833333333333332</v>
      </c>
      <c r="BF61" s="122">
        <f>IF(SUM($F61:BE61)&lt;$C61,$C61*$E61,0)</f>
        <v>20.833333333333332</v>
      </c>
      <c r="BG61" s="122">
        <f>IF(SUM($F61:BF61)&lt;$C61,$C61*$E61,0)</f>
        <v>20.833333333333332</v>
      </c>
      <c r="BH61" s="122">
        <f>IF(SUM($F61:BG61)&lt;$C61,$C61*$E61,0)</f>
        <v>20.833333333333332</v>
      </c>
      <c r="BI61" s="122">
        <f>IF(SUM($F61:BH61)&lt;$C61,$C61*$E61,0)</f>
        <v>20.833333333333332</v>
      </c>
      <c r="BJ61" s="122">
        <f>IF(SUM($F61:BI61)&lt;$C61,$C61*$E61,0)</f>
        <v>20.833333333333332</v>
      </c>
      <c r="BK61" s="122">
        <f>IF(SUM($F61:BJ61)&lt;$C61,$C61*$E61,0)</f>
        <v>20.833333333333332</v>
      </c>
      <c r="BL61" s="122">
        <f>IF(SUM($F61:BK61)&lt;$C61,$C61*$E61,0)</f>
        <v>20.833333333333332</v>
      </c>
      <c r="BM61" s="122">
        <f>IF(SUM($F61:BL61)&lt;$C61,$C61*$E61,0)</f>
        <v>20.833333333333332</v>
      </c>
      <c r="BN61" s="122">
        <f>IF(SUM($F61:BM61)&lt;$C61,$C61*$E61,0)</f>
        <v>20.833333333333332</v>
      </c>
      <c r="BO61" s="122">
        <f>IF(SUM($F61:BN61)&lt;$C61,$C61*$E61,0)</f>
        <v>20.833333333333332</v>
      </c>
      <c r="BP61" s="122">
        <f>IF(SUM($F61:BO61)&lt;$C61,$C61*$E61,0)</f>
        <v>20.833333333333332</v>
      </c>
      <c r="BQ61" s="122">
        <f>IF(SUM($F61:BP61)&lt;$C61,$C61*$E61,0)</f>
        <v>20.833333333333332</v>
      </c>
      <c r="BR61" s="122">
        <f>IF(SUM($F61:BQ61)&lt;$C61,$C61*$E61,0)</f>
        <v>20.833333333333332</v>
      </c>
      <c r="BS61" s="122">
        <f>IF(SUM($F61:BR61)&lt;$C61,$C61*$E61,0)</f>
        <v>20.833333333333332</v>
      </c>
      <c r="BT61" s="122">
        <f>IF(SUM($F61:BS61)&lt;$C61,$C61*$E61,0)</f>
        <v>20.833333333333332</v>
      </c>
      <c r="BU61" s="122">
        <f>IF(SUM($F61:BT61)&lt;$C61,$C61*$E61,0)</f>
        <v>20.833333333333332</v>
      </c>
      <c r="BV61" s="122">
        <f>IF(SUM($F61:BU61)&lt;$C61,$C61*$E61,0)</f>
        <v>20.833333333333332</v>
      </c>
      <c r="BW61" s="122">
        <f>IF(SUM($F61:BV61)&lt;$C61,$C61*$E61,0)</f>
        <v>20.833333333333332</v>
      </c>
      <c r="BX61" s="122">
        <f>IF(SUM($F61:BW61)&lt;$C61,$C61*$E61,0)</f>
        <v>20.833333333333332</v>
      </c>
      <c r="BY61" s="122">
        <f>IF(SUM($F61:BX61)&lt;$C61,$C61*$E61,0)</f>
        <v>20.833333333333332</v>
      </c>
      <c r="BZ61" s="122">
        <f>IF(SUM($F61:BY61)&lt;$C61,$C61*$E61,0)</f>
        <v>20.833333333333332</v>
      </c>
      <c r="CA61" s="122">
        <f>IF(SUM($F61:BZ61)&lt;$C61,$C61*$E61,0)</f>
        <v>20.833333333333332</v>
      </c>
      <c r="CB61" s="122">
        <f>IF(SUM($F61:CA61)&lt;$C61,$C61*$E61,0)</f>
        <v>20.833333333333332</v>
      </c>
    </row>
    <row r="62" spans="1:80" x14ac:dyDescent="0.25">
      <c r="A62" s="340">
        <v>4</v>
      </c>
      <c r="B62" s="398" t="str">
        <f t="shared" si="15"/>
        <v>Склад</v>
      </c>
      <c r="C62" s="128">
        <f t="shared" si="15"/>
        <v>400</v>
      </c>
      <c r="D62" s="128">
        <f>'Книга допущений'!G50</f>
        <v>120</v>
      </c>
      <c r="E62" s="399">
        <f t="shared" si="16"/>
        <v>8.3333333333333332E-3</v>
      </c>
      <c r="F62" s="122">
        <v>0</v>
      </c>
      <c r="G62" s="122">
        <v>0</v>
      </c>
      <c r="H62" s="122">
        <v>0</v>
      </c>
      <c r="I62" s="122">
        <v>0</v>
      </c>
      <c r="J62" s="122">
        <v>0</v>
      </c>
      <c r="K62" s="122">
        <v>0</v>
      </c>
      <c r="L62" s="122">
        <v>0</v>
      </c>
      <c r="M62" s="122">
        <v>0</v>
      </c>
      <c r="N62" s="122">
        <v>0</v>
      </c>
      <c r="O62" s="122">
        <f>IF(SUM($F62:N62)&lt;$C62,$C62*$E62,0)</f>
        <v>3.3333333333333335</v>
      </c>
      <c r="P62" s="122">
        <f>IF(SUM($F62:O62)&lt;$C62,$C62*$E62,0)</f>
        <v>3.3333333333333335</v>
      </c>
      <c r="Q62" s="122">
        <f>IF(SUM($F62:P62)&lt;$C62,$C62*$E62,0)</f>
        <v>3.3333333333333335</v>
      </c>
      <c r="R62" s="122">
        <f>IF(SUM($F62:Q62)&lt;$C62,$C62*$E62,0)</f>
        <v>3.3333333333333335</v>
      </c>
      <c r="S62" s="122">
        <f>IF(SUM($F62:R62)&lt;$C62,$C62*$E62,0)</f>
        <v>3.3333333333333335</v>
      </c>
      <c r="T62" s="122">
        <f>IF(SUM($F62:S62)&lt;$C62,$C62*$E62,0)</f>
        <v>3.3333333333333335</v>
      </c>
      <c r="U62" s="122">
        <f>IF(SUM($F62:T62)&lt;$C62,$C62*$E62,0)</f>
        <v>3.3333333333333335</v>
      </c>
      <c r="V62" s="122">
        <f>IF(SUM($F62:U62)&lt;$C62,$C62*$E62,0)</f>
        <v>3.3333333333333335</v>
      </c>
      <c r="W62" s="122">
        <f>IF(SUM($F62:V62)&lt;$C62,$C62*$E62,0)</f>
        <v>3.3333333333333335</v>
      </c>
      <c r="X62" s="122">
        <f>IF(SUM($F62:W62)&lt;$C62,$C62*$E62,0)</f>
        <v>3.3333333333333335</v>
      </c>
      <c r="Y62" s="122">
        <f>IF(SUM($F62:X62)&lt;$C62,$C62*$E62,0)</f>
        <v>3.3333333333333335</v>
      </c>
      <c r="Z62" s="122">
        <f>IF(SUM($F62:Y62)&lt;$C62,$C62*$E62,0)</f>
        <v>3.3333333333333335</v>
      </c>
      <c r="AA62" s="122">
        <f>IF(SUM($F62:Z62)&lt;$C62,$C62*$E62,0)</f>
        <v>3.3333333333333335</v>
      </c>
      <c r="AB62" s="122">
        <f>IF(SUM($F62:AA62)&lt;$C62,$C62*$E62,0)</f>
        <v>3.3333333333333335</v>
      </c>
      <c r="AC62" s="122">
        <f>IF(SUM($F62:AB62)&lt;$C62,$C62*$E62,0)</f>
        <v>3.3333333333333335</v>
      </c>
      <c r="AD62" s="122">
        <f>IF(SUM($F62:AC62)&lt;$C62,$C62*$E62,0)</f>
        <v>3.3333333333333335</v>
      </c>
      <c r="AE62" s="122">
        <f>IF(SUM($F62:AD62)&lt;$C62,$C62*$E62,0)</f>
        <v>3.3333333333333335</v>
      </c>
      <c r="AF62" s="122">
        <f>IF(SUM($F62:AE62)&lt;$C62,$C62*$E62,0)</f>
        <v>3.3333333333333335</v>
      </c>
      <c r="AG62" s="122">
        <f>IF(SUM($F62:AF62)&lt;$C62,$C62*$E62,0)</f>
        <v>3.3333333333333335</v>
      </c>
      <c r="AH62" s="122">
        <f>IF(SUM($F62:AG62)&lt;$C62,$C62*$E62,0)</f>
        <v>3.3333333333333335</v>
      </c>
      <c r="AI62" s="122">
        <f>IF(SUM($F62:AH62)&lt;$C62,$C62*$E62,0)</f>
        <v>3.3333333333333335</v>
      </c>
      <c r="AJ62" s="122">
        <f>IF(SUM($F62:AI62)&lt;$C62,$C62*$E62,0)</f>
        <v>3.3333333333333335</v>
      </c>
      <c r="AK62" s="122">
        <f>IF(SUM($F62:AJ62)&lt;$C62,$C62*$E62,0)</f>
        <v>3.3333333333333335</v>
      </c>
      <c r="AL62" s="122">
        <f>IF(SUM($F62:AK62)&lt;$C62,$C62*$E62,0)</f>
        <v>3.3333333333333335</v>
      </c>
      <c r="AM62" s="122">
        <f>IF(SUM($F62:AL62)&lt;$C62,$C62*$E62,0)</f>
        <v>3.3333333333333335</v>
      </c>
      <c r="AN62" s="122">
        <f>IF(SUM($F62:AM62)&lt;$C62,$C62*$E62,0)</f>
        <v>3.3333333333333335</v>
      </c>
      <c r="AO62" s="122">
        <f>IF(SUM($F62:AN62)&lt;$C62,$C62*$E62,0)</f>
        <v>3.3333333333333335</v>
      </c>
      <c r="AP62" s="122">
        <f>IF(SUM($F62:AO62)&lt;$C62,$C62*$E62,0)</f>
        <v>3.3333333333333335</v>
      </c>
      <c r="AQ62" s="122">
        <f>IF(SUM($F62:AP62)&lt;$C62,$C62*$E62,0)</f>
        <v>3.3333333333333335</v>
      </c>
      <c r="AR62" s="122">
        <f>IF(SUM($F62:AQ62)&lt;$C62,$C62*$E62,0)</f>
        <v>3.3333333333333335</v>
      </c>
      <c r="AS62" s="122">
        <f>IF(SUM($F62:AR62)&lt;$C62,$C62*$E62,0)</f>
        <v>3.3333333333333335</v>
      </c>
      <c r="AT62" s="122">
        <f>IF(SUM($F62:AS62)&lt;$C62,$C62*$E62,0)</f>
        <v>3.3333333333333335</v>
      </c>
      <c r="AU62" s="122">
        <f>IF(SUM($F62:AT62)&lt;$C62,$C62*$E62,0)</f>
        <v>3.3333333333333335</v>
      </c>
      <c r="AV62" s="122">
        <f>IF(SUM($F62:AU62)&lt;$C62,$C62*$E62,0)</f>
        <v>3.3333333333333335</v>
      </c>
      <c r="AW62" s="122">
        <f>IF(SUM($F62:AV62)&lt;$C62,$C62*$E62,0)</f>
        <v>3.3333333333333335</v>
      </c>
      <c r="AX62" s="122">
        <f>IF(SUM($F62:AW62)&lt;$C62,$C62*$E62,0)</f>
        <v>3.3333333333333335</v>
      </c>
      <c r="AY62" s="122">
        <f>IF(SUM($F62:AX62)&lt;$C62,$C62*$E62,0)</f>
        <v>3.3333333333333335</v>
      </c>
      <c r="AZ62" s="122">
        <f>IF(SUM($F62:AY62)&lt;$C62,$C62*$E62,0)</f>
        <v>3.3333333333333335</v>
      </c>
      <c r="BA62" s="122">
        <f>IF(SUM($F62:AZ62)&lt;$C62,$C62*$E62,0)</f>
        <v>3.3333333333333335</v>
      </c>
      <c r="BB62" s="122">
        <f>IF(SUM($F62:BA62)&lt;$C62,$C62*$E62,0)</f>
        <v>3.3333333333333335</v>
      </c>
      <c r="BC62" s="122">
        <f>IF(SUM($F62:BB62)&lt;$C62,$C62*$E62,0)</f>
        <v>3.3333333333333335</v>
      </c>
      <c r="BD62" s="122">
        <f>IF(SUM($F62:BC62)&lt;$C62,$C62*$E62,0)</f>
        <v>3.3333333333333335</v>
      </c>
      <c r="BE62" s="122">
        <f>IF(SUM($F62:BD62)&lt;$C62,$C62*$E62,0)</f>
        <v>3.3333333333333335</v>
      </c>
      <c r="BF62" s="122">
        <f>IF(SUM($F62:BE62)&lt;$C62,$C62*$E62,0)</f>
        <v>3.3333333333333335</v>
      </c>
      <c r="BG62" s="122">
        <f>IF(SUM($F62:BF62)&lt;$C62,$C62*$E62,0)</f>
        <v>3.3333333333333335</v>
      </c>
      <c r="BH62" s="122">
        <f>IF(SUM($F62:BG62)&lt;$C62,$C62*$E62,0)</f>
        <v>3.3333333333333335</v>
      </c>
      <c r="BI62" s="122">
        <f>IF(SUM($F62:BH62)&lt;$C62,$C62*$E62,0)</f>
        <v>3.3333333333333335</v>
      </c>
      <c r="BJ62" s="122">
        <f>IF(SUM($F62:BI62)&lt;$C62,$C62*$E62,0)</f>
        <v>3.3333333333333335</v>
      </c>
      <c r="BK62" s="122">
        <f>IF(SUM($F62:BJ62)&lt;$C62,$C62*$E62,0)</f>
        <v>3.3333333333333335</v>
      </c>
      <c r="BL62" s="122">
        <f>IF(SUM($F62:BK62)&lt;$C62,$C62*$E62,0)</f>
        <v>3.3333333333333335</v>
      </c>
      <c r="BM62" s="122">
        <f>IF(SUM($F62:BL62)&lt;$C62,$C62*$E62,0)</f>
        <v>3.3333333333333335</v>
      </c>
      <c r="BN62" s="122">
        <f>IF(SUM($F62:BM62)&lt;$C62,$C62*$E62,0)</f>
        <v>3.3333333333333335</v>
      </c>
      <c r="BO62" s="122">
        <f>IF(SUM($F62:BN62)&lt;$C62,$C62*$E62,0)</f>
        <v>3.3333333333333335</v>
      </c>
      <c r="BP62" s="122">
        <f>IF(SUM($F62:BO62)&lt;$C62,$C62*$E62,0)</f>
        <v>3.3333333333333335</v>
      </c>
      <c r="BQ62" s="122">
        <f>IF(SUM($F62:BP62)&lt;$C62,$C62*$E62,0)</f>
        <v>3.3333333333333335</v>
      </c>
      <c r="BR62" s="122">
        <f>IF(SUM($F62:BQ62)&lt;$C62,$C62*$E62,0)</f>
        <v>3.3333333333333335</v>
      </c>
      <c r="BS62" s="122">
        <f>IF(SUM($F62:BR62)&lt;$C62,$C62*$E62,0)</f>
        <v>3.3333333333333335</v>
      </c>
      <c r="BT62" s="122">
        <f>IF(SUM($F62:BS62)&lt;$C62,$C62*$E62,0)</f>
        <v>3.3333333333333335</v>
      </c>
      <c r="BU62" s="122">
        <f>IF(SUM($F62:BT62)&lt;$C62,$C62*$E62,0)</f>
        <v>3.3333333333333335</v>
      </c>
      <c r="BV62" s="122">
        <f>IF(SUM($F62:BU62)&lt;$C62,$C62*$E62,0)</f>
        <v>3.3333333333333335</v>
      </c>
      <c r="BW62" s="122">
        <f>IF(SUM($F62:BV62)&lt;$C62,$C62*$E62,0)</f>
        <v>3.3333333333333335</v>
      </c>
      <c r="BX62" s="122">
        <f>IF(SUM($F62:BW62)&lt;$C62,$C62*$E62,0)</f>
        <v>3.3333333333333335</v>
      </c>
      <c r="BY62" s="122">
        <f>IF(SUM($F62:BX62)&lt;$C62,$C62*$E62,0)</f>
        <v>3.3333333333333335</v>
      </c>
      <c r="BZ62" s="122">
        <f>IF(SUM($F62:BY62)&lt;$C62,$C62*$E62,0)</f>
        <v>3.3333333333333335</v>
      </c>
      <c r="CA62" s="122">
        <f>IF(SUM($F62:BZ62)&lt;$C62,$C62*$E62,0)</f>
        <v>3.3333333333333335</v>
      </c>
      <c r="CB62" s="122">
        <f>IF(SUM($F62:CA62)&lt;$C62,$C62*$E62,0)</f>
        <v>3.3333333333333335</v>
      </c>
    </row>
    <row r="63" spans="1:80" x14ac:dyDescent="0.25">
      <c r="A63" s="340">
        <v>5</v>
      </c>
      <c r="B63" s="398" t="str">
        <f t="shared" si="15"/>
        <v>Бани</v>
      </c>
      <c r="C63" s="128">
        <f t="shared" si="15"/>
        <v>1000</v>
      </c>
      <c r="D63" s="128">
        <f>'Книга допущений'!G53</f>
        <v>84</v>
      </c>
      <c r="E63" s="399">
        <f t="shared" si="16"/>
        <v>1.1904761904761904E-2</v>
      </c>
      <c r="F63" s="122">
        <v>0</v>
      </c>
      <c r="G63" s="122">
        <v>0</v>
      </c>
      <c r="H63" s="122">
        <v>0</v>
      </c>
      <c r="I63" s="122">
        <v>0</v>
      </c>
      <c r="J63" s="122">
        <v>0</v>
      </c>
      <c r="K63" s="122">
        <v>0</v>
      </c>
      <c r="L63" s="122">
        <v>0</v>
      </c>
      <c r="M63" s="122">
        <v>0</v>
      </c>
      <c r="N63" s="122">
        <v>0</v>
      </c>
      <c r="O63" s="122">
        <f>IF(SUM($F63:N63)&lt;$C63,$C63*$E63,0)</f>
        <v>11.904761904761903</v>
      </c>
      <c r="P63" s="122">
        <f>IF(SUM($F63:O63)&lt;$C63,$C63*$E63,0)</f>
        <v>11.904761904761903</v>
      </c>
      <c r="Q63" s="122">
        <f>IF(SUM($F63:P63)&lt;$C63,$C63*$E63,0)</f>
        <v>11.904761904761903</v>
      </c>
      <c r="R63" s="122">
        <f>IF(SUM($F63:Q63)&lt;$C63,$C63*$E63,0)</f>
        <v>11.904761904761903</v>
      </c>
      <c r="S63" s="122">
        <f>IF(SUM($F63:R63)&lt;$C63,$C63*$E63,0)</f>
        <v>11.904761904761903</v>
      </c>
      <c r="T63" s="122">
        <f>IF(SUM($F63:S63)&lt;$C63,$C63*$E63,0)</f>
        <v>11.904761904761903</v>
      </c>
      <c r="U63" s="122">
        <f>IF(SUM($F63:T63)&lt;$C63,$C63*$E63,0)</f>
        <v>11.904761904761903</v>
      </c>
      <c r="V63" s="122">
        <f>IF(SUM($F63:U63)&lt;$C63,$C63*$E63,0)</f>
        <v>11.904761904761903</v>
      </c>
      <c r="W63" s="122">
        <f>IF(SUM($F63:V63)&lt;$C63,$C63*$E63,0)</f>
        <v>11.904761904761903</v>
      </c>
      <c r="X63" s="122">
        <f>IF(SUM($F63:W63)&lt;$C63,$C63*$E63,0)</f>
        <v>11.904761904761903</v>
      </c>
      <c r="Y63" s="122">
        <f>IF(SUM($F63:X63)&lt;$C63,$C63*$E63,0)</f>
        <v>11.904761904761903</v>
      </c>
      <c r="Z63" s="122">
        <f>IF(SUM($F63:Y63)&lt;$C63,$C63*$E63,0)</f>
        <v>11.904761904761903</v>
      </c>
      <c r="AA63" s="122">
        <f>IF(SUM($F63:Z63)&lt;$C63,$C63*$E63,0)</f>
        <v>11.904761904761903</v>
      </c>
      <c r="AB63" s="122">
        <f>IF(SUM($F63:AA63)&lt;$C63,$C63*$E63,0)</f>
        <v>11.904761904761903</v>
      </c>
      <c r="AC63" s="122">
        <f>IF(SUM($F63:AB63)&lt;$C63,$C63*$E63,0)</f>
        <v>11.904761904761903</v>
      </c>
      <c r="AD63" s="122">
        <f>IF(SUM($F63:AC63)&lt;$C63,$C63*$E63,0)</f>
        <v>11.904761904761903</v>
      </c>
      <c r="AE63" s="122">
        <f>IF(SUM($F63:AD63)&lt;$C63,$C63*$E63,0)</f>
        <v>11.904761904761903</v>
      </c>
      <c r="AF63" s="122">
        <f>IF(SUM($F63:AE63)&lt;$C63,$C63*$E63,0)</f>
        <v>11.904761904761903</v>
      </c>
      <c r="AG63" s="122">
        <f>IF(SUM($F63:AF63)&lt;$C63,$C63*$E63,0)</f>
        <v>11.904761904761903</v>
      </c>
      <c r="AH63" s="122">
        <f>IF(SUM($F63:AG63)&lt;$C63,$C63*$E63,0)</f>
        <v>11.904761904761903</v>
      </c>
      <c r="AI63" s="122">
        <f>IF(SUM($F63:AH63)&lt;$C63,$C63*$E63,0)</f>
        <v>11.904761904761903</v>
      </c>
      <c r="AJ63" s="122">
        <f>IF(SUM($F63:AI63)&lt;$C63,$C63*$E63,0)</f>
        <v>11.904761904761903</v>
      </c>
      <c r="AK63" s="122">
        <f>IF(SUM($F63:AJ63)&lt;$C63,$C63*$E63,0)</f>
        <v>11.904761904761903</v>
      </c>
      <c r="AL63" s="122">
        <f>IF(SUM($F63:AK63)&lt;$C63,$C63*$E63,0)</f>
        <v>11.904761904761903</v>
      </c>
      <c r="AM63" s="122">
        <f>IF(SUM($F63:AL63)&lt;$C63,$C63*$E63,0)</f>
        <v>11.904761904761903</v>
      </c>
      <c r="AN63" s="122">
        <f>IF(SUM($F63:AM63)&lt;$C63,$C63*$E63,0)</f>
        <v>11.904761904761903</v>
      </c>
      <c r="AO63" s="122">
        <f>IF(SUM($F63:AN63)&lt;$C63,$C63*$E63,0)</f>
        <v>11.904761904761903</v>
      </c>
      <c r="AP63" s="122">
        <f>IF(SUM($F63:AO63)&lt;$C63,$C63*$E63,0)</f>
        <v>11.904761904761903</v>
      </c>
      <c r="AQ63" s="122">
        <f>IF(SUM($F63:AP63)&lt;$C63,$C63*$E63,0)</f>
        <v>11.904761904761903</v>
      </c>
      <c r="AR63" s="122">
        <f>IF(SUM($F63:AQ63)&lt;$C63,$C63*$E63,0)</f>
        <v>11.904761904761903</v>
      </c>
      <c r="AS63" s="122">
        <f>IF(SUM($F63:AR63)&lt;$C63,$C63*$E63,0)</f>
        <v>11.904761904761903</v>
      </c>
      <c r="AT63" s="122">
        <f>IF(SUM($F63:AS63)&lt;$C63,$C63*$E63,0)</f>
        <v>11.904761904761903</v>
      </c>
      <c r="AU63" s="122">
        <f>IF(SUM($F63:AT63)&lt;$C63,$C63*$E63,0)</f>
        <v>11.904761904761903</v>
      </c>
      <c r="AV63" s="122">
        <f>IF(SUM($F63:AU63)&lt;$C63,$C63*$E63,0)</f>
        <v>11.904761904761903</v>
      </c>
      <c r="AW63" s="122">
        <f>IF(SUM($F63:AV63)&lt;$C63,$C63*$E63,0)</f>
        <v>11.904761904761903</v>
      </c>
      <c r="AX63" s="122">
        <f>IF(SUM($F63:AW63)&lt;$C63,$C63*$E63,0)</f>
        <v>11.904761904761903</v>
      </c>
      <c r="AY63" s="122">
        <f>IF(SUM($F63:AX63)&lt;$C63,$C63*$E63,0)</f>
        <v>11.904761904761903</v>
      </c>
      <c r="AZ63" s="122">
        <f>IF(SUM($F63:AY63)&lt;$C63,$C63*$E63,0)</f>
        <v>11.904761904761903</v>
      </c>
      <c r="BA63" s="122">
        <f>IF(SUM($F63:AZ63)&lt;$C63,$C63*$E63,0)</f>
        <v>11.904761904761903</v>
      </c>
      <c r="BB63" s="122">
        <f>IF(SUM($F63:BA63)&lt;$C63,$C63*$E63,0)</f>
        <v>11.904761904761903</v>
      </c>
      <c r="BC63" s="122">
        <f>IF(SUM($F63:BB63)&lt;$C63,$C63*$E63,0)</f>
        <v>11.904761904761903</v>
      </c>
      <c r="BD63" s="122">
        <f>IF(SUM($F63:BC63)&lt;$C63,$C63*$E63,0)</f>
        <v>11.904761904761903</v>
      </c>
      <c r="BE63" s="122">
        <f>IF(SUM($F63:BD63)&lt;$C63,$C63*$E63,0)</f>
        <v>11.904761904761903</v>
      </c>
      <c r="BF63" s="122">
        <f>IF(SUM($F63:BE63)&lt;$C63,$C63*$E63,0)</f>
        <v>11.904761904761903</v>
      </c>
      <c r="BG63" s="122">
        <f>IF(SUM($F63:BF63)&lt;$C63,$C63*$E63,0)</f>
        <v>11.904761904761903</v>
      </c>
      <c r="BH63" s="122">
        <f>IF(SUM($F63:BG63)&lt;$C63,$C63*$E63,0)</f>
        <v>11.904761904761903</v>
      </c>
      <c r="BI63" s="122">
        <f>IF(SUM($F63:BH63)&lt;$C63,$C63*$E63,0)</f>
        <v>11.904761904761903</v>
      </c>
      <c r="BJ63" s="122">
        <f>IF(SUM($F63:BI63)&lt;$C63,$C63*$E63,0)</f>
        <v>11.904761904761903</v>
      </c>
      <c r="BK63" s="122">
        <f>IF(SUM($F63:BJ63)&lt;$C63,$C63*$E63,0)</f>
        <v>11.904761904761903</v>
      </c>
      <c r="BL63" s="122">
        <f>IF(SUM($F63:BK63)&lt;$C63,$C63*$E63,0)</f>
        <v>11.904761904761903</v>
      </c>
      <c r="BM63" s="122">
        <f>IF(SUM($F63:BL63)&lt;$C63,$C63*$E63,0)</f>
        <v>11.904761904761903</v>
      </c>
      <c r="BN63" s="122">
        <f>IF(SUM($F63:BM63)&lt;$C63,$C63*$E63,0)</f>
        <v>11.904761904761903</v>
      </c>
      <c r="BO63" s="122">
        <f>IF(SUM($F63:BN63)&lt;$C63,$C63*$E63,0)</f>
        <v>11.904761904761903</v>
      </c>
      <c r="BP63" s="122">
        <f>IF(SUM($F63:BO63)&lt;$C63,$C63*$E63,0)</f>
        <v>11.904761904761903</v>
      </c>
      <c r="BQ63" s="122">
        <f>IF(SUM($F63:BP63)&lt;$C63,$C63*$E63,0)</f>
        <v>11.904761904761903</v>
      </c>
      <c r="BR63" s="122">
        <f>IF(SUM($F63:BQ63)&lt;$C63,$C63*$E63,0)</f>
        <v>11.904761904761903</v>
      </c>
      <c r="BS63" s="122">
        <f>IF(SUM($F63:BR63)&lt;$C63,$C63*$E63,0)</f>
        <v>11.904761904761903</v>
      </c>
      <c r="BT63" s="122">
        <f>IF(SUM($F63:BS63)&lt;$C63,$C63*$E63,0)</f>
        <v>11.904761904761903</v>
      </c>
      <c r="BU63" s="122">
        <f>IF(SUM($F63:BT63)&lt;$C63,$C63*$E63,0)</f>
        <v>11.904761904761903</v>
      </c>
      <c r="BV63" s="122">
        <f>IF(SUM($F63:BU63)&lt;$C63,$C63*$E63,0)</f>
        <v>11.904761904761903</v>
      </c>
      <c r="BW63" s="122">
        <f>IF(SUM($F63:BV63)&lt;$C63,$C63*$E63,0)</f>
        <v>11.904761904761903</v>
      </c>
      <c r="BX63" s="122">
        <f>IF(SUM($F63:BW63)&lt;$C63,$C63*$E63,0)</f>
        <v>11.904761904761903</v>
      </c>
      <c r="BY63" s="122">
        <f>IF(SUM($F63:BX63)&lt;$C63,$C63*$E63,0)</f>
        <v>11.904761904761903</v>
      </c>
      <c r="BZ63" s="122">
        <f>IF(SUM($F63:BY63)&lt;$C63,$C63*$E63,0)</f>
        <v>11.904761904761903</v>
      </c>
      <c r="CA63" s="122">
        <f>IF(SUM($F63:BZ63)&lt;$C63,$C63*$E63,0)</f>
        <v>11.904761904761903</v>
      </c>
      <c r="CB63" s="122">
        <f>IF(SUM($F63:CA63)&lt;$C63,$C63*$E63,0)</f>
        <v>11.904761904761903</v>
      </c>
    </row>
    <row r="64" spans="1:80" x14ac:dyDescent="0.25">
      <c r="A64" s="340">
        <v>6</v>
      </c>
      <c r="B64" s="398" t="str">
        <f t="shared" si="15"/>
        <v>Клуб с рестораном</v>
      </c>
      <c r="C64" s="128">
        <f t="shared" si="15"/>
        <v>12000</v>
      </c>
      <c r="D64" s="128">
        <f>'Книга допущений'!G56</f>
        <v>120</v>
      </c>
      <c r="E64" s="399">
        <f t="shared" si="16"/>
        <v>8.3333333333333332E-3</v>
      </c>
      <c r="F64" s="122">
        <v>0</v>
      </c>
      <c r="G64" s="122">
        <v>0</v>
      </c>
      <c r="H64" s="122">
        <v>0</v>
      </c>
      <c r="I64" s="122">
        <v>0</v>
      </c>
      <c r="J64" s="122">
        <v>0</v>
      </c>
      <c r="K64" s="122">
        <v>0</v>
      </c>
      <c r="L64" s="122">
        <v>0</v>
      </c>
      <c r="M64" s="122">
        <v>0</v>
      </c>
      <c r="N64" s="122">
        <v>0</v>
      </c>
      <c r="O64" s="122">
        <f>IF(SUM($F64:N64)&lt;$C64,$C64*$E64,0)</f>
        <v>100</v>
      </c>
      <c r="P64" s="122">
        <f>IF(SUM($F64:O64)&lt;$C64,$C64*$E64,0)</f>
        <v>100</v>
      </c>
      <c r="Q64" s="122">
        <f>IF(SUM($F64:P64)&lt;$C64,$C64*$E64,0)</f>
        <v>100</v>
      </c>
      <c r="R64" s="122">
        <f>IF(SUM($F64:Q64)&lt;$C64,$C64*$E64,0)</f>
        <v>100</v>
      </c>
      <c r="S64" s="122">
        <f>IF(SUM($F64:R64)&lt;$C64,$C64*$E64,0)</f>
        <v>100</v>
      </c>
      <c r="T64" s="122">
        <f>IF(SUM($F64:S64)&lt;$C64,$C64*$E64,0)</f>
        <v>100</v>
      </c>
      <c r="U64" s="122">
        <f>IF(SUM($F64:T64)&lt;$C64,$C64*$E64,0)</f>
        <v>100</v>
      </c>
      <c r="V64" s="122">
        <f>IF(SUM($F64:U64)&lt;$C64,$C64*$E64,0)</f>
        <v>100</v>
      </c>
      <c r="W64" s="122">
        <f>IF(SUM($F64:V64)&lt;$C64,$C64*$E64,0)</f>
        <v>100</v>
      </c>
      <c r="X64" s="122">
        <f>IF(SUM($F64:W64)&lt;$C64,$C64*$E64,0)</f>
        <v>100</v>
      </c>
      <c r="Y64" s="122">
        <f>IF(SUM($F64:X64)&lt;$C64,$C64*$E64,0)</f>
        <v>100</v>
      </c>
      <c r="Z64" s="122">
        <f>IF(SUM($F64:Y64)&lt;$C64,$C64*$E64,0)</f>
        <v>100</v>
      </c>
      <c r="AA64" s="122">
        <f>IF(SUM($F64:Z64)&lt;$C64,$C64*$E64,0)</f>
        <v>100</v>
      </c>
      <c r="AB64" s="122">
        <f>IF(SUM($F64:AA64)&lt;$C64,$C64*$E64,0)</f>
        <v>100</v>
      </c>
      <c r="AC64" s="122">
        <f>IF(SUM($F64:AB64)&lt;$C64,$C64*$E64,0)</f>
        <v>100</v>
      </c>
      <c r="AD64" s="122">
        <f>IF(SUM($F64:AC64)&lt;$C64,$C64*$E64,0)</f>
        <v>100</v>
      </c>
      <c r="AE64" s="122">
        <f>IF(SUM($F64:AD64)&lt;$C64,$C64*$E64,0)</f>
        <v>100</v>
      </c>
      <c r="AF64" s="122">
        <f>IF(SUM($F64:AE64)&lt;$C64,$C64*$E64,0)</f>
        <v>100</v>
      </c>
      <c r="AG64" s="122">
        <f>IF(SUM($F64:AF64)&lt;$C64,$C64*$E64,0)</f>
        <v>100</v>
      </c>
      <c r="AH64" s="122">
        <f>IF(SUM($F64:AG64)&lt;$C64,$C64*$E64,0)</f>
        <v>100</v>
      </c>
      <c r="AI64" s="122">
        <f>IF(SUM($F64:AH64)&lt;$C64,$C64*$E64,0)</f>
        <v>100</v>
      </c>
      <c r="AJ64" s="122">
        <f>IF(SUM($F64:AI64)&lt;$C64,$C64*$E64,0)</f>
        <v>100</v>
      </c>
      <c r="AK64" s="122">
        <f>IF(SUM($F64:AJ64)&lt;$C64,$C64*$E64,0)</f>
        <v>100</v>
      </c>
      <c r="AL64" s="122">
        <f>IF(SUM($F64:AK64)&lt;$C64,$C64*$E64,0)</f>
        <v>100</v>
      </c>
      <c r="AM64" s="122">
        <f>IF(SUM($F64:AL64)&lt;$C64,$C64*$E64,0)</f>
        <v>100</v>
      </c>
      <c r="AN64" s="122">
        <f>IF(SUM($F64:AM64)&lt;$C64,$C64*$E64,0)</f>
        <v>100</v>
      </c>
      <c r="AO64" s="122">
        <f>IF(SUM($F64:AN64)&lt;$C64,$C64*$E64,0)</f>
        <v>100</v>
      </c>
      <c r="AP64" s="122">
        <f>IF(SUM($F64:AO64)&lt;$C64,$C64*$E64,0)</f>
        <v>100</v>
      </c>
      <c r="AQ64" s="122">
        <f>IF(SUM($F64:AP64)&lt;$C64,$C64*$E64,0)</f>
        <v>100</v>
      </c>
      <c r="AR64" s="122">
        <f>IF(SUM($F64:AQ64)&lt;$C64,$C64*$E64,0)</f>
        <v>100</v>
      </c>
      <c r="AS64" s="122">
        <f>IF(SUM($F64:AR64)&lt;$C64,$C64*$E64,0)</f>
        <v>100</v>
      </c>
      <c r="AT64" s="122">
        <f>IF(SUM($F64:AS64)&lt;$C64,$C64*$E64,0)</f>
        <v>100</v>
      </c>
      <c r="AU64" s="122">
        <f>IF(SUM($F64:AT64)&lt;$C64,$C64*$E64,0)</f>
        <v>100</v>
      </c>
      <c r="AV64" s="122">
        <f>IF(SUM($F64:AU64)&lt;$C64,$C64*$E64,0)</f>
        <v>100</v>
      </c>
      <c r="AW64" s="122">
        <f>IF(SUM($F64:AV64)&lt;$C64,$C64*$E64,0)</f>
        <v>100</v>
      </c>
      <c r="AX64" s="122">
        <f>IF(SUM($F64:AW64)&lt;$C64,$C64*$E64,0)</f>
        <v>100</v>
      </c>
      <c r="AY64" s="122">
        <f>IF(SUM($F64:AX64)&lt;$C64,$C64*$E64,0)</f>
        <v>100</v>
      </c>
      <c r="AZ64" s="122">
        <f>IF(SUM($F64:AY64)&lt;$C64,$C64*$E64,0)</f>
        <v>100</v>
      </c>
      <c r="BA64" s="122">
        <f>IF(SUM($F64:AZ64)&lt;$C64,$C64*$E64,0)</f>
        <v>100</v>
      </c>
      <c r="BB64" s="122">
        <f>IF(SUM($F64:BA64)&lt;$C64,$C64*$E64,0)</f>
        <v>100</v>
      </c>
      <c r="BC64" s="122">
        <f>IF(SUM($F64:BB64)&lt;$C64,$C64*$E64,0)</f>
        <v>100</v>
      </c>
      <c r="BD64" s="122">
        <f>IF(SUM($F64:BC64)&lt;$C64,$C64*$E64,0)</f>
        <v>100</v>
      </c>
      <c r="BE64" s="122">
        <f>IF(SUM($F64:BD64)&lt;$C64,$C64*$E64,0)</f>
        <v>100</v>
      </c>
      <c r="BF64" s="122">
        <f>IF(SUM($F64:BE64)&lt;$C64,$C64*$E64,0)</f>
        <v>100</v>
      </c>
      <c r="BG64" s="122">
        <f>IF(SUM($F64:BF64)&lt;$C64,$C64*$E64,0)</f>
        <v>100</v>
      </c>
      <c r="BH64" s="122">
        <f>IF(SUM($F64:BG64)&lt;$C64,$C64*$E64,0)</f>
        <v>100</v>
      </c>
      <c r="BI64" s="122">
        <f>IF(SUM($F64:BH64)&lt;$C64,$C64*$E64,0)</f>
        <v>100</v>
      </c>
      <c r="BJ64" s="122">
        <f>IF(SUM($F64:BI64)&lt;$C64,$C64*$E64,0)</f>
        <v>100</v>
      </c>
      <c r="BK64" s="122">
        <f>IF(SUM($F64:BJ64)&lt;$C64,$C64*$E64,0)</f>
        <v>100</v>
      </c>
      <c r="BL64" s="122">
        <f>IF(SUM($F64:BK64)&lt;$C64,$C64*$E64,0)</f>
        <v>100</v>
      </c>
      <c r="BM64" s="122">
        <f>IF(SUM($F64:BL64)&lt;$C64,$C64*$E64,0)</f>
        <v>100</v>
      </c>
      <c r="BN64" s="122">
        <f>IF(SUM($F64:BM64)&lt;$C64,$C64*$E64,0)</f>
        <v>100</v>
      </c>
      <c r="BO64" s="122">
        <f>IF(SUM($F64:BN64)&lt;$C64,$C64*$E64,0)</f>
        <v>100</v>
      </c>
      <c r="BP64" s="122">
        <f>IF(SUM($F64:BO64)&lt;$C64,$C64*$E64,0)</f>
        <v>100</v>
      </c>
      <c r="BQ64" s="122">
        <f>IF(SUM($F64:BP64)&lt;$C64,$C64*$E64,0)</f>
        <v>100</v>
      </c>
      <c r="BR64" s="122">
        <f>IF(SUM($F64:BQ64)&lt;$C64,$C64*$E64,0)</f>
        <v>100</v>
      </c>
      <c r="BS64" s="122">
        <f>IF(SUM($F64:BR64)&lt;$C64,$C64*$E64,0)</f>
        <v>100</v>
      </c>
      <c r="BT64" s="122">
        <f>IF(SUM($F64:BS64)&lt;$C64,$C64*$E64,0)</f>
        <v>100</v>
      </c>
      <c r="BU64" s="122">
        <f>IF(SUM($F64:BT64)&lt;$C64,$C64*$E64,0)</f>
        <v>100</v>
      </c>
      <c r="BV64" s="122">
        <f>IF(SUM($F64:BU64)&lt;$C64,$C64*$E64,0)</f>
        <v>100</v>
      </c>
      <c r="BW64" s="122">
        <f>IF(SUM($F64:BV64)&lt;$C64,$C64*$E64,0)</f>
        <v>100</v>
      </c>
      <c r="BX64" s="122">
        <f>IF(SUM($F64:BW64)&lt;$C64,$C64*$E64,0)</f>
        <v>100</v>
      </c>
      <c r="BY64" s="122">
        <f>IF(SUM($F64:BX64)&lt;$C64,$C64*$E64,0)</f>
        <v>100</v>
      </c>
      <c r="BZ64" s="122">
        <f>IF(SUM($F64:BY64)&lt;$C64,$C64*$E64,0)</f>
        <v>100</v>
      </c>
      <c r="CA64" s="122">
        <f>IF(SUM($F64:BZ64)&lt;$C64,$C64*$E64,0)</f>
        <v>100</v>
      </c>
      <c r="CB64" s="122">
        <f>IF(SUM($F64:CA64)&lt;$C64,$C64*$E64,0)</f>
        <v>100</v>
      </c>
    </row>
    <row r="65" spans="1:80" x14ac:dyDescent="0.25">
      <c r="A65" s="340">
        <v>7</v>
      </c>
      <c r="B65" s="398" t="str">
        <f t="shared" si="15"/>
        <v>Workout площадка</v>
      </c>
      <c r="C65" s="128">
        <f t="shared" si="15"/>
        <v>200</v>
      </c>
      <c r="D65" s="128">
        <f>'Книга допущений'!G$59</f>
        <v>60</v>
      </c>
      <c r="E65" s="399">
        <f t="shared" si="16"/>
        <v>1.6666666666666666E-2</v>
      </c>
      <c r="F65" s="122">
        <v>0</v>
      </c>
      <c r="G65" s="122">
        <v>0</v>
      </c>
      <c r="H65" s="122">
        <v>0</v>
      </c>
      <c r="I65" s="122">
        <v>0</v>
      </c>
      <c r="J65" s="122">
        <v>0</v>
      </c>
      <c r="K65" s="122">
        <v>0</v>
      </c>
      <c r="L65" s="122">
        <v>0</v>
      </c>
      <c r="M65" s="122">
        <v>0</v>
      </c>
      <c r="N65" s="122">
        <v>0</v>
      </c>
      <c r="O65" s="122">
        <f>IF(SUM($F65:N65)&lt;$C65,$C65*$E65,0)</f>
        <v>3.3333333333333335</v>
      </c>
      <c r="P65" s="122">
        <f>IF(SUM($F65:O65)&lt;$C65,$C65*$E65,0)</f>
        <v>3.3333333333333335</v>
      </c>
      <c r="Q65" s="122">
        <f>IF(SUM($F65:P65)&lt;$C65,$C65*$E65,0)</f>
        <v>3.3333333333333335</v>
      </c>
      <c r="R65" s="122">
        <f>IF(SUM($F65:Q65)&lt;$C65,$C65*$E65,0)</f>
        <v>3.3333333333333335</v>
      </c>
      <c r="S65" s="122">
        <f>IF(SUM($F65:R65)&lt;$C65,$C65*$E65,0)</f>
        <v>3.3333333333333335</v>
      </c>
      <c r="T65" s="122">
        <f>IF(SUM($F65:S65)&lt;$C65,$C65*$E65,0)</f>
        <v>3.3333333333333335</v>
      </c>
      <c r="U65" s="122">
        <f>IF(SUM($F65:T65)&lt;$C65,$C65*$E65,0)</f>
        <v>3.3333333333333335</v>
      </c>
      <c r="V65" s="122">
        <f>IF(SUM($F65:U65)&lt;$C65,$C65*$E65,0)</f>
        <v>3.3333333333333335</v>
      </c>
      <c r="W65" s="122">
        <f>IF(SUM($F65:V65)&lt;$C65,$C65*$E65,0)</f>
        <v>3.3333333333333335</v>
      </c>
      <c r="X65" s="122">
        <f>IF(SUM($F65:W65)&lt;$C65,$C65*$E65,0)</f>
        <v>3.3333333333333335</v>
      </c>
      <c r="Y65" s="122">
        <f>IF(SUM($F65:X65)&lt;$C65,$C65*$E65,0)</f>
        <v>3.3333333333333335</v>
      </c>
      <c r="Z65" s="122">
        <f>IF(SUM($F65:Y65)&lt;$C65,$C65*$E65,0)</f>
        <v>3.3333333333333335</v>
      </c>
      <c r="AA65" s="122">
        <f>IF(SUM($F65:Z65)&lt;$C65,$C65*$E65,0)</f>
        <v>3.3333333333333335</v>
      </c>
      <c r="AB65" s="122">
        <f>IF(SUM($F65:AA65)&lt;$C65,$C65*$E65,0)</f>
        <v>3.3333333333333335</v>
      </c>
      <c r="AC65" s="122">
        <f>IF(SUM($F65:AB65)&lt;$C65,$C65*$E65,0)</f>
        <v>3.3333333333333335</v>
      </c>
      <c r="AD65" s="122">
        <f>IF(SUM($F65:AC65)&lt;$C65,$C65*$E65,0)</f>
        <v>3.3333333333333335</v>
      </c>
      <c r="AE65" s="122">
        <f>IF(SUM($F65:AD65)&lt;$C65,$C65*$E65,0)</f>
        <v>3.3333333333333335</v>
      </c>
      <c r="AF65" s="122">
        <f>IF(SUM($F65:AE65)&lt;$C65,$C65*$E65,0)</f>
        <v>3.3333333333333335</v>
      </c>
      <c r="AG65" s="122">
        <f>IF(SUM($F65:AF65)&lt;$C65,$C65*$E65,0)</f>
        <v>3.3333333333333335</v>
      </c>
      <c r="AH65" s="122">
        <f>IF(SUM($F65:AG65)&lt;$C65,$C65*$E65,0)</f>
        <v>3.3333333333333335</v>
      </c>
      <c r="AI65" s="122">
        <f>IF(SUM($F65:AH65)&lt;$C65,$C65*$E65,0)</f>
        <v>3.3333333333333335</v>
      </c>
      <c r="AJ65" s="122">
        <f>IF(SUM($F65:AI65)&lt;$C65,$C65*$E65,0)</f>
        <v>3.3333333333333335</v>
      </c>
      <c r="AK65" s="122">
        <f>IF(SUM($F65:AJ65)&lt;$C65,$C65*$E65,0)</f>
        <v>3.3333333333333335</v>
      </c>
      <c r="AL65" s="122">
        <f>IF(SUM($F65:AK65)&lt;$C65,$C65*$E65,0)</f>
        <v>3.3333333333333335</v>
      </c>
      <c r="AM65" s="122">
        <f>IF(SUM($F65:AL65)&lt;$C65,$C65*$E65,0)</f>
        <v>3.3333333333333335</v>
      </c>
      <c r="AN65" s="122">
        <f>IF(SUM($F65:AM65)&lt;$C65,$C65*$E65,0)</f>
        <v>3.3333333333333335</v>
      </c>
      <c r="AO65" s="122">
        <f>IF(SUM($F65:AN65)&lt;$C65,$C65*$E65,0)</f>
        <v>3.3333333333333335</v>
      </c>
      <c r="AP65" s="122">
        <f>IF(SUM($F65:AO65)&lt;$C65,$C65*$E65,0)</f>
        <v>3.3333333333333335</v>
      </c>
      <c r="AQ65" s="122">
        <f>IF(SUM($F65:AP65)&lt;$C65,$C65*$E65,0)</f>
        <v>3.3333333333333335</v>
      </c>
      <c r="AR65" s="122">
        <f>IF(SUM($F65:AQ65)&lt;$C65,$C65*$E65,0)</f>
        <v>3.3333333333333335</v>
      </c>
      <c r="AS65" s="122">
        <f>IF(SUM($F65:AR65)&lt;$C65,$C65*$E65,0)</f>
        <v>3.3333333333333335</v>
      </c>
      <c r="AT65" s="122">
        <f>IF(SUM($F65:AS65)&lt;$C65,$C65*$E65,0)</f>
        <v>3.3333333333333335</v>
      </c>
      <c r="AU65" s="122">
        <f>IF(SUM($F65:AT65)&lt;$C65,$C65*$E65,0)</f>
        <v>3.3333333333333335</v>
      </c>
      <c r="AV65" s="122">
        <f>IF(SUM($F65:AU65)&lt;$C65,$C65*$E65,0)</f>
        <v>3.3333333333333335</v>
      </c>
      <c r="AW65" s="122">
        <f>IF(SUM($F65:AV65)&lt;$C65,$C65*$E65,0)</f>
        <v>3.3333333333333335</v>
      </c>
      <c r="AX65" s="122">
        <f>IF(SUM($F65:AW65)&lt;$C65,$C65*$E65,0)</f>
        <v>3.3333333333333335</v>
      </c>
      <c r="AY65" s="122">
        <f>IF(SUM($F65:AX65)&lt;$C65,$C65*$E65,0)</f>
        <v>3.3333333333333335</v>
      </c>
      <c r="AZ65" s="122">
        <f>IF(SUM($F65:AY65)&lt;$C65,$C65*$E65,0)</f>
        <v>3.3333333333333335</v>
      </c>
      <c r="BA65" s="122">
        <f>IF(SUM($F65:AZ65)&lt;$C65,$C65*$E65,0)</f>
        <v>3.3333333333333335</v>
      </c>
      <c r="BB65" s="122">
        <f>IF(SUM($F65:BA65)&lt;$C65,$C65*$E65,0)</f>
        <v>3.3333333333333335</v>
      </c>
      <c r="BC65" s="122">
        <f>IF(SUM($F65:BB65)&lt;$C65,$C65*$E65,0)</f>
        <v>3.3333333333333335</v>
      </c>
      <c r="BD65" s="122">
        <f>IF(SUM($F65:BC65)&lt;$C65,$C65*$E65,0)</f>
        <v>3.3333333333333335</v>
      </c>
      <c r="BE65" s="122">
        <f>IF(SUM($F65:BD65)&lt;$C65,$C65*$E65,0)</f>
        <v>3.3333333333333335</v>
      </c>
      <c r="BF65" s="122">
        <f>IF(SUM($F65:BE65)&lt;$C65,$C65*$E65,0)</f>
        <v>3.3333333333333335</v>
      </c>
      <c r="BG65" s="122">
        <f>IF(SUM($F65:BF65)&lt;$C65,$C65*$E65,0)</f>
        <v>3.3333333333333335</v>
      </c>
      <c r="BH65" s="122">
        <f>IF(SUM($F65:BG65)&lt;$C65,$C65*$E65,0)</f>
        <v>3.3333333333333335</v>
      </c>
      <c r="BI65" s="122">
        <f>IF(SUM($F65:BH65)&lt;$C65,$C65*$E65,0)</f>
        <v>3.3333333333333335</v>
      </c>
      <c r="BJ65" s="122">
        <f>IF(SUM($F65:BI65)&lt;$C65,$C65*$E65,0)</f>
        <v>3.3333333333333335</v>
      </c>
      <c r="BK65" s="122">
        <f>IF(SUM($F65:BJ65)&lt;$C65,$C65*$E65,0)</f>
        <v>3.3333333333333335</v>
      </c>
      <c r="BL65" s="122">
        <f>IF(SUM($F65:BK65)&lt;$C65,$C65*$E65,0)</f>
        <v>3.3333333333333335</v>
      </c>
      <c r="BM65" s="122">
        <f>IF(SUM($F65:BL65)&lt;$C65,$C65*$E65,0)</f>
        <v>3.3333333333333335</v>
      </c>
      <c r="BN65" s="122">
        <f>IF(SUM($F65:BM65)&lt;$C65,$C65*$E65,0)</f>
        <v>3.3333333333333335</v>
      </c>
      <c r="BO65" s="122">
        <f>IF(SUM($F65:BN65)&lt;$C65,$C65*$E65,0)</f>
        <v>3.3333333333333335</v>
      </c>
      <c r="BP65" s="122">
        <f>IF(SUM($F65:BO65)&lt;$C65,$C65*$E65,0)</f>
        <v>3.3333333333333335</v>
      </c>
      <c r="BQ65" s="122">
        <f>IF(SUM($F65:BP65)&lt;$C65,$C65*$E65,0)</f>
        <v>3.3333333333333335</v>
      </c>
      <c r="BR65" s="122">
        <f>IF(SUM($F65:BQ65)&lt;$C65,$C65*$E65,0)</f>
        <v>3.3333333333333335</v>
      </c>
      <c r="BS65" s="122">
        <f>IF(SUM($F65:BR65)&lt;$C65,$C65*$E65,0)</f>
        <v>3.3333333333333335</v>
      </c>
      <c r="BT65" s="122">
        <f>IF(SUM($F65:BS65)&lt;$C65,$C65*$E65,0)</f>
        <v>3.3333333333333335</v>
      </c>
      <c r="BU65" s="122">
        <f>IF(SUM($F65:BT65)&lt;$C65,$C65*$E65,0)</f>
        <v>3.3333333333333335</v>
      </c>
      <c r="BV65" s="122">
        <f>IF(SUM($F65:BU65)&lt;$C65,$C65*$E65,0)</f>
        <v>3.3333333333333335</v>
      </c>
      <c r="BW65" s="122">
        <f>IF(SUM($F65:BV65)&lt;$C65,$C65*$E65,0)</f>
        <v>0</v>
      </c>
      <c r="BX65" s="122">
        <f>IF(SUM($F65:BW65)&lt;$C65,$C65*$E65,0)</f>
        <v>0</v>
      </c>
      <c r="BY65" s="122">
        <f>IF(SUM($F65:BX65)&lt;$C65,$C65*$E65,0)</f>
        <v>0</v>
      </c>
      <c r="BZ65" s="122">
        <f>IF(SUM($F65:BY65)&lt;$C65,$C65*$E65,0)</f>
        <v>0</v>
      </c>
      <c r="CA65" s="122">
        <f>IF(SUM($F65:BZ65)&lt;$C65,$C65*$E65,0)</f>
        <v>0</v>
      </c>
      <c r="CB65" s="122">
        <f>IF(SUM($F65:CA65)&lt;$C65,$C65*$E65,0)</f>
        <v>0</v>
      </c>
    </row>
    <row r="66" spans="1:80" x14ac:dyDescent="0.25">
      <c r="A66" s="340">
        <v>8</v>
      </c>
      <c r="B66" s="398" t="str">
        <f t="shared" si="15"/>
        <v>Детская площадка</v>
      </c>
      <c r="C66" s="128">
        <f t="shared" si="15"/>
        <v>100</v>
      </c>
      <c r="D66" s="128">
        <f>'Книга допущений'!G$59</f>
        <v>60</v>
      </c>
      <c r="E66" s="399">
        <f t="shared" si="16"/>
        <v>1.6666666666666666E-2</v>
      </c>
      <c r="F66" s="122">
        <v>0</v>
      </c>
      <c r="G66" s="122">
        <v>0</v>
      </c>
      <c r="H66" s="122">
        <v>0</v>
      </c>
      <c r="I66" s="122">
        <v>0</v>
      </c>
      <c r="J66" s="122">
        <v>0</v>
      </c>
      <c r="K66" s="122">
        <v>0</v>
      </c>
      <c r="L66" s="122">
        <v>0</v>
      </c>
      <c r="M66" s="122">
        <v>0</v>
      </c>
      <c r="N66" s="122">
        <v>0</v>
      </c>
      <c r="O66" s="122">
        <f>IF(SUM($F66:N66)&lt;$C66,$C66*$E66,0)</f>
        <v>1.6666666666666667</v>
      </c>
      <c r="P66" s="122">
        <f>IF(SUM($F66:O66)&lt;$C66,$C66*$E66,0)</f>
        <v>1.6666666666666667</v>
      </c>
      <c r="Q66" s="122">
        <f>IF(SUM($F66:P66)&lt;$C66,$C66*$E66,0)</f>
        <v>1.6666666666666667</v>
      </c>
      <c r="R66" s="122">
        <f>IF(SUM($F66:Q66)&lt;$C66,$C66*$E66,0)</f>
        <v>1.6666666666666667</v>
      </c>
      <c r="S66" s="122">
        <f>IF(SUM($F66:R66)&lt;$C66,$C66*$E66,0)</f>
        <v>1.6666666666666667</v>
      </c>
      <c r="T66" s="122">
        <f>IF(SUM($F66:S66)&lt;$C66,$C66*$E66,0)</f>
        <v>1.6666666666666667</v>
      </c>
      <c r="U66" s="122">
        <f>IF(SUM($F66:T66)&lt;$C66,$C66*$E66,0)</f>
        <v>1.6666666666666667</v>
      </c>
      <c r="V66" s="122">
        <f>IF(SUM($F66:U66)&lt;$C66,$C66*$E66,0)</f>
        <v>1.6666666666666667</v>
      </c>
      <c r="W66" s="122">
        <f>IF(SUM($F66:V66)&lt;$C66,$C66*$E66,0)</f>
        <v>1.6666666666666667</v>
      </c>
      <c r="X66" s="122">
        <f>IF(SUM($F66:W66)&lt;$C66,$C66*$E66,0)</f>
        <v>1.6666666666666667</v>
      </c>
      <c r="Y66" s="122">
        <f>IF(SUM($F66:X66)&lt;$C66,$C66*$E66,0)</f>
        <v>1.6666666666666667</v>
      </c>
      <c r="Z66" s="122">
        <f>IF(SUM($F66:Y66)&lt;$C66,$C66*$E66,0)</f>
        <v>1.6666666666666667</v>
      </c>
      <c r="AA66" s="122">
        <f>IF(SUM($F66:Z66)&lt;$C66,$C66*$E66,0)</f>
        <v>1.6666666666666667</v>
      </c>
      <c r="AB66" s="122">
        <f>IF(SUM($F66:AA66)&lt;$C66,$C66*$E66,0)</f>
        <v>1.6666666666666667</v>
      </c>
      <c r="AC66" s="122">
        <f>IF(SUM($F66:AB66)&lt;$C66,$C66*$E66,0)</f>
        <v>1.6666666666666667</v>
      </c>
      <c r="AD66" s="122">
        <f>IF(SUM($F66:AC66)&lt;$C66,$C66*$E66,0)</f>
        <v>1.6666666666666667</v>
      </c>
      <c r="AE66" s="122">
        <f>IF(SUM($F66:AD66)&lt;$C66,$C66*$E66,0)</f>
        <v>1.6666666666666667</v>
      </c>
      <c r="AF66" s="122">
        <f>IF(SUM($F66:AE66)&lt;$C66,$C66*$E66,0)</f>
        <v>1.6666666666666667</v>
      </c>
      <c r="AG66" s="122">
        <f>IF(SUM($F66:AF66)&lt;$C66,$C66*$E66,0)</f>
        <v>1.6666666666666667</v>
      </c>
      <c r="AH66" s="122">
        <f>IF(SUM($F66:AG66)&lt;$C66,$C66*$E66,0)</f>
        <v>1.6666666666666667</v>
      </c>
      <c r="AI66" s="122">
        <f>IF(SUM($F66:AH66)&lt;$C66,$C66*$E66,0)</f>
        <v>1.6666666666666667</v>
      </c>
      <c r="AJ66" s="122">
        <f>IF(SUM($F66:AI66)&lt;$C66,$C66*$E66,0)</f>
        <v>1.6666666666666667</v>
      </c>
      <c r="AK66" s="122">
        <f>IF(SUM($F66:AJ66)&lt;$C66,$C66*$E66,0)</f>
        <v>1.6666666666666667</v>
      </c>
      <c r="AL66" s="122">
        <f>IF(SUM($F66:AK66)&lt;$C66,$C66*$E66,0)</f>
        <v>1.6666666666666667</v>
      </c>
      <c r="AM66" s="122">
        <f>IF(SUM($F66:AL66)&lt;$C66,$C66*$E66,0)</f>
        <v>1.6666666666666667</v>
      </c>
      <c r="AN66" s="122">
        <f>IF(SUM($F66:AM66)&lt;$C66,$C66*$E66,0)</f>
        <v>1.6666666666666667</v>
      </c>
      <c r="AO66" s="122">
        <f>IF(SUM($F66:AN66)&lt;$C66,$C66*$E66,0)</f>
        <v>1.6666666666666667</v>
      </c>
      <c r="AP66" s="122">
        <f>IF(SUM($F66:AO66)&lt;$C66,$C66*$E66,0)</f>
        <v>1.6666666666666667</v>
      </c>
      <c r="AQ66" s="122">
        <f>IF(SUM($F66:AP66)&lt;$C66,$C66*$E66,0)</f>
        <v>1.6666666666666667</v>
      </c>
      <c r="AR66" s="122">
        <f>IF(SUM($F66:AQ66)&lt;$C66,$C66*$E66,0)</f>
        <v>1.6666666666666667</v>
      </c>
      <c r="AS66" s="122">
        <f>IF(SUM($F66:AR66)&lt;$C66,$C66*$E66,0)</f>
        <v>1.6666666666666667</v>
      </c>
      <c r="AT66" s="122">
        <f>IF(SUM($F66:AS66)&lt;$C66,$C66*$E66,0)</f>
        <v>1.6666666666666667</v>
      </c>
      <c r="AU66" s="122">
        <f>IF(SUM($F66:AT66)&lt;$C66,$C66*$E66,0)</f>
        <v>1.6666666666666667</v>
      </c>
      <c r="AV66" s="122">
        <f>IF(SUM($F66:AU66)&lt;$C66,$C66*$E66,0)</f>
        <v>1.6666666666666667</v>
      </c>
      <c r="AW66" s="122">
        <f>IF(SUM($F66:AV66)&lt;$C66,$C66*$E66,0)</f>
        <v>1.6666666666666667</v>
      </c>
      <c r="AX66" s="122">
        <f>IF(SUM($F66:AW66)&lt;$C66,$C66*$E66,0)</f>
        <v>1.6666666666666667</v>
      </c>
      <c r="AY66" s="122">
        <f>IF(SUM($F66:AX66)&lt;$C66,$C66*$E66,0)</f>
        <v>1.6666666666666667</v>
      </c>
      <c r="AZ66" s="122">
        <f>IF(SUM($F66:AY66)&lt;$C66,$C66*$E66,0)</f>
        <v>1.6666666666666667</v>
      </c>
      <c r="BA66" s="122">
        <f>IF(SUM($F66:AZ66)&lt;$C66,$C66*$E66,0)</f>
        <v>1.6666666666666667</v>
      </c>
      <c r="BB66" s="122">
        <f>IF(SUM($F66:BA66)&lt;$C66,$C66*$E66,0)</f>
        <v>1.6666666666666667</v>
      </c>
      <c r="BC66" s="122">
        <f>IF(SUM($F66:BB66)&lt;$C66,$C66*$E66,0)</f>
        <v>1.6666666666666667</v>
      </c>
      <c r="BD66" s="122">
        <f>IF(SUM($F66:BC66)&lt;$C66,$C66*$E66,0)</f>
        <v>1.6666666666666667</v>
      </c>
      <c r="BE66" s="122">
        <f>IF(SUM($F66:BD66)&lt;$C66,$C66*$E66,0)</f>
        <v>1.6666666666666667</v>
      </c>
      <c r="BF66" s="122">
        <f>IF(SUM($F66:BE66)&lt;$C66,$C66*$E66,0)</f>
        <v>1.6666666666666667</v>
      </c>
      <c r="BG66" s="122">
        <f>IF(SUM($F66:BF66)&lt;$C66,$C66*$E66,0)</f>
        <v>1.6666666666666667</v>
      </c>
      <c r="BH66" s="122">
        <f>IF(SUM($F66:BG66)&lt;$C66,$C66*$E66,0)</f>
        <v>1.6666666666666667</v>
      </c>
      <c r="BI66" s="122">
        <f>IF(SUM($F66:BH66)&lt;$C66,$C66*$E66,0)</f>
        <v>1.6666666666666667</v>
      </c>
      <c r="BJ66" s="122">
        <f>IF(SUM($F66:BI66)&lt;$C66,$C66*$E66,0)</f>
        <v>1.6666666666666667</v>
      </c>
      <c r="BK66" s="122">
        <f>IF(SUM($F66:BJ66)&lt;$C66,$C66*$E66,0)</f>
        <v>1.6666666666666667</v>
      </c>
      <c r="BL66" s="122">
        <f>IF(SUM($F66:BK66)&lt;$C66,$C66*$E66,0)</f>
        <v>1.6666666666666667</v>
      </c>
      <c r="BM66" s="122">
        <f>IF(SUM($F66:BL66)&lt;$C66,$C66*$E66,0)</f>
        <v>1.6666666666666667</v>
      </c>
      <c r="BN66" s="122">
        <f>IF(SUM($F66:BM66)&lt;$C66,$C66*$E66,0)</f>
        <v>1.6666666666666667</v>
      </c>
      <c r="BO66" s="122">
        <f>IF(SUM($F66:BN66)&lt;$C66,$C66*$E66,0)</f>
        <v>1.6666666666666667</v>
      </c>
      <c r="BP66" s="122">
        <f>IF(SUM($F66:BO66)&lt;$C66,$C66*$E66,0)</f>
        <v>1.6666666666666667</v>
      </c>
      <c r="BQ66" s="122">
        <f>IF(SUM($F66:BP66)&lt;$C66,$C66*$E66,0)</f>
        <v>1.6666666666666667</v>
      </c>
      <c r="BR66" s="122">
        <f>IF(SUM($F66:BQ66)&lt;$C66,$C66*$E66,0)</f>
        <v>1.6666666666666667</v>
      </c>
      <c r="BS66" s="122">
        <f>IF(SUM($F66:BR66)&lt;$C66,$C66*$E66,0)</f>
        <v>1.6666666666666667</v>
      </c>
      <c r="BT66" s="122">
        <f>IF(SUM($F66:BS66)&lt;$C66,$C66*$E66,0)</f>
        <v>1.6666666666666667</v>
      </c>
      <c r="BU66" s="122">
        <f>IF(SUM($F66:BT66)&lt;$C66,$C66*$E66,0)</f>
        <v>1.6666666666666667</v>
      </c>
      <c r="BV66" s="122">
        <f>IF(SUM($F66:BU66)&lt;$C66,$C66*$E66,0)</f>
        <v>1.6666666666666667</v>
      </c>
      <c r="BW66" s="122">
        <f>IF(SUM($F66:BV66)&lt;$C66,$C66*$E66,0)</f>
        <v>0</v>
      </c>
      <c r="BX66" s="122">
        <f>IF(SUM($F66:BW66)&lt;$C66,$C66*$E66,0)</f>
        <v>0</v>
      </c>
      <c r="BY66" s="122">
        <f>IF(SUM($F66:BX66)&lt;$C66,$C66*$E66,0)</f>
        <v>0</v>
      </c>
      <c r="BZ66" s="122">
        <f>IF(SUM($F66:BY66)&lt;$C66,$C66*$E66,0)</f>
        <v>0</v>
      </c>
      <c r="CA66" s="122">
        <f>IF(SUM($F66:BZ66)&lt;$C66,$C66*$E66,0)</f>
        <v>0</v>
      </c>
      <c r="CB66" s="122">
        <f>IF(SUM($F66:CA66)&lt;$C66,$C66*$E66,0)</f>
        <v>0</v>
      </c>
    </row>
    <row r="67" spans="1:80" x14ac:dyDescent="0.25">
      <c r="A67" s="340">
        <v>9</v>
      </c>
      <c r="B67" s="398" t="str">
        <f t="shared" si="15"/>
        <v>Барбекю-парк</v>
      </c>
      <c r="C67" s="128">
        <f t="shared" si="15"/>
        <v>400</v>
      </c>
      <c r="D67" s="128">
        <f>'Книга допущений'!G$59</f>
        <v>60</v>
      </c>
      <c r="E67" s="399">
        <f t="shared" si="16"/>
        <v>1.6666666666666666E-2</v>
      </c>
      <c r="F67" s="122">
        <v>0</v>
      </c>
      <c r="G67" s="122">
        <v>0</v>
      </c>
      <c r="H67" s="122">
        <v>0</v>
      </c>
      <c r="I67" s="122">
        <v>0</v>
      </c>
      <c r="J67" s="122">
        <v>0</v>
      </c>
      <c r="K67" s="122">
        <v>0</v>
      </c>
      <c r="L67" s="122">
        <v>0</v>
      </c>
      <c r="M67" s="122">
        <v>0</v>
      </c>
      <c r="N67" s="122">
        <v>0</v>
      </c>
      <c r="O67" s="122">
        <f>IF(SUM($F67:N67)&lt;$C67,$C67*$E67,0)</f>
        <v>6.666666666666667</v>
      </c>
      <c r="P67" s="122">
        <f>IF(SUM($F67:O67)&lt;$C67,$C67*$E67,0)</f>
        <v>6.666666666666667</v>
      </c>
      <c r="Q67" s="122">
        <f>IF(SUM($F67:P67)&lt;$C67,$C67*$E67,0)</f>
        <v>6.666666666666667</v>
      </c>
      <c r="R67" s="122">
        <f>IF(SUM($F67:Q67)&lt;$C67,$C67*$E67,0)</f>
        <v>6.666666666666667</v>
      </c>
      <c r="S67" s="122">
        <f>IF(SUM($F67:R67)&lt;$C67,$C67*$E67,0)</f>
        <v>6.666666666666667</v>
      </c>
      <c r="T67" s="122">
        <f>IF(SUM($F67:S67)&lt;$C67,$C67*$E67,0)</f>
        <v>6.666666666666667</v>
      </c>
      <c r="U67" s="122">
        <f>IF(SUM($F67:T67)&lt;$C67,$C67*$E67,0)</f>
        <v>6.666666666666667</v>
      </c>
      <c r="V67" s="122">
        <f>IF(SUM($F67:U67)&lt;$C67,$C67*$E67,0)</f>
        <v>6.666666666666667</v>
      </c>
      <c r="W67" s="122">
        <f>IF(SUM($F67:V67)&lt;$C67,$C67*$E67,0)</f>
        <v>6.666666666666667</v>
      </c>
      <c r="X67" s="122">
        <f>IF(SUM($F67:W67)&lt;$C67,$C67*$E67,0)</f>
        <v>6.666666666666667</v>
      </c>
      <c r="Y67" s="122">
        <f>IF(SUM($F67:X67)&lt;$C67,$C67*$E67,0)</f>
        <v>6.666666666666667</v>
      </c>
      <c r="Z67" s="122">
        <f>IF(SUM($F67:Y67)&lt;$C67,$C67*$E67,0)</f>
        <v>6.666666666666667</v>
      </c>
      <c r="AA67" s="122">
        <f>IF(SUM($F67:Z67)&lt;$C67,$C67*$E67,0)</f>
        <v>6.666666666666667</v>
      </c>
      <c r="AB67" s="122">
        <f>IF(SUM($F67:AA67)&lt;$C67,$C67*$E67,0)</f>
        <v>6.666666666666667</v>
      </c>
      <c r="AC67" s="122">
        <f>IF(SUM($F67:AB67)&lt;$C67,$C67*$E67,0)</f>
        <v>6.666666666666667</v>
      </c>
      <c r="AD67" s="122">
        <f>IF(SUM($F67:AC67)&lt;$C67,$C67*$E67,0)</f>
        <v>6.666666666666667</v>
      </c>
      <c r="AE67" s="122">
        <f>IF(SUM($F67:AD67)&lt;$C67,$C67*$E67,0)</f>
        <v>6.666666666666667</v>
      </c>
      <c r="AF67" s="122">
        <f>IF(SUM($F67:AE67)&lt;$C67,$C67*$E67,0)</f>
        <v>6.666666666666667</v>
      </c>
      <c r="AG67" s="122">
        <f>IF(SUM($F67:AF67)&lt;$C67,$C67*$E67,0)</f>
        <v>6.666666666666667</v>
      </c>
      <c r="AH67" s="122">
        <f>IF(SUM($F67:AG67)&lt;$C67,$C67*$E67,0)</f>
        <v>6.666666666666667</v>
      </c>
      <c r="AI67" s="122">
        <f>IF(SUM($F67:AH67)&lt;$C67,$C67*$E67,0)</f>
        <v>6.666666666666667</v>
      </c>
      <c r="AJ67" s="122">
        <f>IF(SUM($F67:AI67)&lt;$C67,$C67*$E67,0)</f>
        <v>6.666666666666667</v>
      </c>
      <c r="AK67" s="122">
        <f>IF(SUM($F67:AJ67)&lt;$C67,$C67*$E67,0)</f>
        <v>6.666666666666667</v>
      </c>
      <c r="AL67" s="122">
        <f>IF(SUM($F67:AK67)&lt;$C67,$C67*$E67,0)</f>
        <v>6.666666666666667</v>
      </c>
      <c r="AM67" s="122">
        <f>IF(SUM($F67:AL67)&lt;$C67,$C67*$E67,0)</f>
        <v>6.666666666666667</v>
      </c>
      <c r="AN67" s="122">
        <f>IF(SUM($F67:AM67)&lt;$C67,$C67*$E67,0)</f>
        <v>6.666666666666667</v>
      </c>
      <c r="AO67" s="122">
        <f>IF(SUM($F67:AN67)&lt;$C67,$C67*$E67,0)</f>
        <v>6.666666666666667</v>
      </c>
      <c r="AP67" s="122">
        <f>IF(SUM($F67:AO67)&lt;$C67,$C67*$E67,0)</f>
        <v>6.666666666666667</v>
      </c>
      <c r="AQ67" s="122">
        <f>IF(SUM($F67:AP67)&lt;$C67,$C67*$E67,0)</f>
        <v>6.666666666666667</v>
      </c>
      <c r="AR67" s="122">
        <f>IF(SUM($F67:AQ67)&lt;$C67,$C67*$E67,0)</f>
        <v>6.666666666666667</v>
      </c>
      <c r="AS67" s="122">
        <f>IF(SUM($F67:AR67)&lt;$C67,$C67*$E67,0)</f>
        <v>6.666666666666667</v>
      </c>
      <c r="AT67" s="122">
        <f>IF(SUM($F67:AS67)&lt;$C67,$C67*$E67,0)</f>
        <v>6.666666666666667</v>
      </c>
      <c r="AU67" s="122">
        <f>IF(SUM($F67:AT67)&lt;$C67,$C67*$E67,0)</f>
        <v>6.666666666666667</v>
      </c>
      <c r="AV67" s="122">
        <f>IF(SUM($F67:AU67)&lt;$C67,$C67*$E67,0)</f>
        <v>6.666666666666667</v>
      </c>
      <c r="AW67" s="122">
        <f>IF(SUM($F67:AV67)&lt;$C67,$C67*$E67,0)</f>
        <v>6.666666666666667</v>
      </c>
      <c r="AX67" s="122">
        <f>IF(SUM($F67:AW67)&lt;$C67,$C67*$E67,0)</f>
        <v>6.666666666666667</v>
      </c>
      <c r="AY67" s="122">
        <f>IF(SUM($F67:AX67)&lt;$C67,$C67*$E67,0)</f>
        <v>6.666666666666667</v>
      </c>
      <c r="AZ67" s="122">
        <f>IF(SUM($F67:AY67)&lt;$C67,$C67*$E67,0)</f>
        <v>6.666666666666667</v>
      </c>
      <c r="BA67" s="122">
        <f>IF(SUM($F67:AZ67)&lt;$C67,$C67*$E67,0)</f>
        <v>6.666666666666667</v>
      </c>
      <c r="BB67" s="122">
        <f>IF(SUM($F67:BA67)&lt;$C67,$C67*$E67,0)</f>
        <v>6.666666666666667</v>
      </c>
      <c r="BC67" s="122">
        <f>IF(SUM($F67:BB67)&lt;$C67,$C67*$E67,0)</f>
        <v>6.666666666666667</v>
      </c>
      <c r="BD67" s="122">
        <f>IF(SUM($F67:BC67)&lt;$C67,$C67*$E67,0)</f>
        <v>6.666666666666667</v>
      </c>
      <c r="BE67" s="122">
        <f>IF(SUM($F67:BD67)&lt;$C67,$C67*$E67,0)</f>
        <v>6.666666666666667</v>
      </c>
      <c r="BF67" s="122">
        <f>IF(SUM($F67:BE67)&lt;$C67,$C67*$E67,0)</f>
        <v>6.666666666666667</v>
      </c>
      <c r="BG67" s="122">
        <f>IF(SUM($F67:BF67)&lt;$C67,$C67*$E67,0)</f>
        <v>6.666666666666667</v>
      </c>
      <c r="BH67" s="122">
        <f>IF(SUM($F67:BG67)&lt;$C67,$C67*$E67,0)</f>
        <v>6.666666666666667</v>
      </c>
      <c r="BI67" s="122">
        <f>IF(SUM($F67:BH67)&lt;$C67,$C67*$E67,0)</f>
        <v>6.666666666666667</v>
      </c>
      <c r="BJ67" s="122">
        <f>IF(SUM($F67:BI67)&lt;$C67,$C67*$E67,0)</f>
        <v>6.666666666666667</v>
      </c>
      <c r="BK67" s="122">
        <f>IF(SUM($F67:BJ67)&lt;$C67,$C67*$E67,0)</f>
        <v>6.666666666666667</v>
      </c>
      <c r="BL67" s="122">
        <f>IF(SUM($F67:BK67)&lt;$C67,$C67*$E67,0)</f>
        <v>6.666666666666667</v>
      </c>
      <c r="BM67" s="122">
        <f>IF(SUM($F67:BL67)&lt;$C67,$C67*$E67,0)</f>
        <v>6.666666666666667</v>
      </c>
      <c r="BN67" s="122">
        <f>IF(SUM($F67:BM67)&lt;$C67,$C67*$E67,0)</f>
        <v>6.666666666666667</v>
      </c>
      <c r="BO67" s="122">
        <f>IF(SUM($F67:BN67)&lt;$C67,$C67*$E67,0)</f>
        <v>6.666666666666667</v>
      </c>
      <c r="BP67" s="122">
        <f>IF(SUM($F67:BO67)&lt;$C67,$C67*$E67,0)</f>
        <v>6.666666666666667</v>
      </c>
      <c r="BQ67" s="122">
        <f>IF(SUM($F67:BP67)&lt;$C67,$C67*$E67,0)</f>
        <v>6.666666666666667</v>
      </c>
      <c r="BR67" s="122">
        <f>IF(SUM($F67:BQ67)&lt;$C67,$C67*$E67,0)</f>
        <v>6.666666666666667</v>
      </c>
      <c r="BS67" s="122">
        <f>IF(SUM($F67:BR67)&lt;$C67,$C67*$E67,0)</f>
        <v>6.666666666666667</v>
      </c>
      <c r="BT67" s="122">
        <f>IF(SUM($F67:BS67)&lt;$C67,$C67*$E67,0)</f>
        <v>6.666666666666667</v>
      </c>
      <c r="BU67" s="122">
        <f>IF(SUM($F67:BT67)&lt;$C67,$C67*$E67,0)</f>
        <v>6.666666666666667</v>
      </c>
      <c r="BV67" s="122">
        <f>IF(SUM($F67:BU67)&lt;$C67,$C67*$E67,0)</f>
        <v>6.666666666666667</v>
      </c>
      <c r="BW67" s="122">
        <f>IF(SUM($F67:BV67)&lt;$C67,$C67*$E67,0)</f>
        <v>0</v>
      </c>
      <c r="BX67" s="122">
        <f>IF(SUM($F67:BW67)&lt;$C67,$C67*$E67,0)</f>
        <v>0</v>
      </c>
      <c r="BY67" s="122">
        <f>IF(SUM($F67:BX67)&lt;$C67,$C67*$E67,0)</f>
        <v>0</v>
      </c>
      <c r="BZ67" s="122">
        <f>IF(SUM($F67:BY67)&lt;$C67,$C67*$E67,0)</f>
        <v>0</v>
      </c>
      <c r="CA67" s="122">
        <f>IF(SUM($F67:BZ67)&lt;$C67,$C67*$E67,0)</f>
        <v>0</v>
      </c>
      <c r="CB67" s="122">
        <f>IF(SUM($F67:CA67)&lt;$C67,$C67*$E67,0)</f>
        <v>0</v>
      </c>
    </row>
    <row r="68" spans="1:80" x14ac:dyDescent="0.25">
      <c r="A68" s="340">
        <v>10</v>
      </c>
      <c r="B68" s="398" t="str">
        <f t="shared" si="15"/>
        <v>Костровая зона</v>
      </c>
      <c r="C68" s="128">
        <f t="shared" si="15"/>
        <v>50</v>
      </c>
      <c r="D68" s="128">
        <f>'Книга допущений'!G$59</f>
        <v>60</v>
      </c>
      <c r="E68" s="399">
        <f t="shared" si="16"/>
        <v>1.6666666666666666E-2</v>
      </c>
      <c r="F68" s="122">
        <v>0</v>
      </c>
      <c r="G68" s="122">
        <v>0</v>
      </c>
      <c r="H68" s="122">
        <v>0</v>
      </c>
      <c r="I68" s="122">
        <v>0</v>
      </c>
      <c r="J68" s="122">
        <v>0</v>
      </c>
      <c r="K68" s="122">
        <v>0</v>
      </c>
      <c r="L68" s="122">
        <v>0</v>
      </c>
      <c r="M68" s="122">
        <v>0</v>
      </c>
      <c r="N68" s="122">
        <v>0</v>
      </c>
      <c r="O68" s="122">
        <f>IF(SUM($F68:N68)&lt;$C68,$C68*$E68,0)</f>
        <v>0.83333333333333337</v>
      </c>
      <c r="P68" s="122">
        <f>IF(SUM($F68:O68)&lt;$C68,$C68*$E68,0)</f>
        <v>0.83333333333333337</v>
      </c>
      <c r="Q68" s="122">
        <f>IF(SUM($F68:P68)&lt;$C68,$C68*$E68,0)</f>
        <v>0.83333333333333337</v>
      </c>
      <c r="R68" s="122">
        <f>IF(SUM($F68:Q68)&lt;$C68,$C68*$E68,0)</f>
        <v>0.83333333333333337</v>
      </c>
      <c r="S68" s="122">
        <f>IF(SUM($F68:R68)&lt;$C68,$C68*$E68,0)</f>
        <v>0.83333333333333337</v>
      </c>
      <c r="T68" s="122">
        <f>IF(SUM($F68:S68)&lt;$C68,$C68*$E68,0)</f>
        <v>0.83333333333333337</v>
      </c>
      <c r="U68" s="122">
        <f>IF(SUM($F68:T68)&lt;$C68,$C68*$E68,0)</f>
        <v>0.83333333333333337</v>
      </c>
      <c r="V68" s="122">
        <f>IF(SUM($F68:U68)&lt;$C68,$C68*$E68,0)</f>
        <v>0.83333333333333337</v>
      </c>
      <c r="W68" s="122">
        <f>IF(SUM($F68:V68)&lt;$C68,$C68*$E68,0)</f>
        <v>0.83333333333333337</v>
      </c>
      <c r="X68" s="122">
        <f>IF(SUM($F68:W68)&lt;$C68,$C68*$E68,0)</f>
        <v>0.83333333333333337</v>
      </c>
      <c r="Y68" s="122">
        <f>IF(SUM($F68:X68)&lt;$C68,$C68*$E68,0)</f>
        <v>0.83333333333333337</v>
      </c>
      <c r="Z68" s="122">
        <f>IF(SUM($F68:Y68)&lt;$C68,$C68*$E68,0)</f>
        <v>0.83333333333333337</v>
      </c>
      <c r="AA68" s="122">
        <f>IF(SUM($F68:Z68)&lt;$C68,$C68*$E68,0)</f>
        <v>0.83333333333333337</v>
      </c>
      <c r="AB68" s="122">
        <f>IF(SUM($F68:AA68)&lt;$C68,$C68*$E68,0)</f>
        <v>0.83333333333333337</v>
      </c>
      <c r="AC68" s="122">
        <f>IF(SUM($F68:AB68)&lt;$C68,$C68*$E68,0)</f>
        <v>0.83333333333333337</v>
      </c>
      <c r="AD68" s="122">
        <f>IF(SUM($F68:AC68)&lt;$C68,$C68*$E68,0)</f>
        <v>0.83333333333333337</v>
      </c>
      <c r="AE68" s="122">
        <f>IF(SUM($F68:AD68)&lt;$C68,$C68*$E68,0)</f>
        <v>0.83333333333333337</v>
      </c>
      <c r="AF68" s="122">
        <f>IF(SUM($F68:AE68)&lt;$C68,$C68*$E68,0)</f>
        <v>0.83333333333333337</v>
      </c>
      <c r="AG68" s="122">
        <f>IF(SUM($F68:AF68)&lt;$C68,$C68*$E68,0)</f>
        <v>0.83333333333333337</v>
      </c>
      <c r="AH68" s="122">
        <f>IF(SUM($F68:AG68)&lt;$C68,$C68*$E68,0)</f>
        <v>0.83333333333333337</v>
      </c>
      <c r="AI68" s="122">
        <f>IF(SUM($F68:AH68)&lt;$C68,$C68*$E68,0)</f>
        <v>0.83333333333333337</v>
      </c>
      <c r="AJ68" s="122">
        <f>IF(SUM($F68:AI68)&lt;$C68,$C68*$E68,0)</f>
        <v>0.83333333333333337</v>
      </c>
      <c r="AK68" s="122">
        <f>IF(SUM($F68:AJ68)&lt;$C68,$C68*$E68,0)</f>
        <v>0.83333333333333337</v>
      </c>
      <c r="AL68" s="122">
        <f>IF(SUM($F68:AK68)&lt;$C68,$C68*$E68,0)</f>
        <v>0.83333333333333337</v>
      </c>
      <c r="AM68" s="122">
        <f>IF(SUM($F68:AL68)&lt;$C68,$C68*$E68,0)</f>
        <v>0.83333333333333337</v>
      </c>
      <c r="AN68" s="122">
        <f>IF(SUM($F68:AM68)&lt;$C68,$C68*$E68,0)</f>
        <v>0.83333333333333337</v>
      </c>
      <c r="AO68" s="122">
        <f>IF(SUM($F68:AN68)&lt;$C68,$C68*$E68,0)</f>
        <v>0.83333333333333337</v>
      </c>
      <c r="AP68" s="122">
        <f>IF(SUM($F68:AO68)&lt;$C68,$C68*$E68,0)</f>
        <v>0.83333333333333337</v>
      </c>
      <c r="AQ68" s="122">
        <f>IF(SUM($F68:AP68)&lt;$C68,$C68*$E68,0)</f>
        <v>0.83333333333333337</v>
      </c>
      <c r="AR68" s="122">
        <f>IF(SUM($F68:AQ68)&lt;$C68,$C68*$E68,0)</f>
        <v>0.83333333333333337</v>
      </c>
      <c r="AS68" s="122">
        <f>IF(SUM($F68:AR68)&lt;$C68,$C68*$E68,0)</f>
        <v>0.83333333333333337</v>
      </c>
      <c r="AT68" s="122">
        <f>IF(SUM($F68:AS68)&lt;$C68,$C68*$E68,0)</f>
        <v>0.83333333333333337</v>
      </c>
      <c r="AU68" s="122">
        <f>IF(SUM($F68:AT68)&lt;$C68,$C68*$E68,0)</f>
        <v>0.83333333333333337</v>
      </c>
      <c r="AV68" s="122">
        <f>IF(SUM($F68:AU68)&lt;$C68,$C68*$E68,0)</f>
        <v>0.83333333333333337</v>
      </c>
      <c r="AW68" s="122">
        <f>IF(SUM($F68:AV68)&lt;$C68,$C68*$E68,0)</f>
        <v>0.83333333333333337</v>
      </c>
      <c r="AX68" s="122">
        <f>IF(SUM($F68:AW68)&lt;$C68,$C68*$E68,0)</f>
        <v>0.83333333333333337</v>
      </c>
      <c r="AY68" s="122">
        <f>IF(SUM($F68:AX68)&lt;$C68,$C68*$E68,0)</f>
        <v>0.83333333333333337</v>
      </c>
      <c r="AZ68" s="122">
        <f>IF(SUM($F68:AY68)&lt;$C68,$C68*$E68,0)</f>
        <v>0.83333333333333337</v>
      </c>
      <c r="BA68" s="122">
        <f>IF(SUM($F68:AZ68)&lt;$C68,$C68*$E68,0)</f>
        <v>0.83333333333333337</v>
      </c>
      <c r="BB68" s="122">
        <f>IF(SUM($F68:BA68)&lt;$C68,$C68*$E68,0)</f>
        <v>0.83333333333333337</v>
      </c>
      <c r="BC68" s="122">
        <f>IF(SUM($F68:BB68)&lt;$C68,$C68*$E68,0)</f>
        <v>0.83333333333333337</v>
      </c>
      <c r="BD68" s="122">
        <f>IF(SUM($F68:BC68)&lt;$C68,$C68*$E68,0)</f>
        <v>0.83333333333333337</v>
      </c>
      <c r="BE68" s="122">
        <f>IF(SUM($F68:BD68)&lt;$C68,$C68*$E68,0)</f>
        <v>0.83333333333333337</v>
      </c>
      <c r="BF68" s="122">
        <f>IF(SUM($F68:BE68)&lt;$C68,$C68*$E68,0)</f>
        <v>0.83333333333333337</v>
      </c>
      <c r="BG68" s="122">
        <f>IF(SUM($F68:BF68)&lt;$C68,$C68*$E68,0)</f>
        <v>0.83333333333333337</v>
      </c>
      <c r="BH68" s="122">
        <f>IF(SUM($F68:BG68)&lt;$C68,$C68*$E68,0)</f>
        <v>0.83333333333333337</v>
      </c>
      <c r="BI68" s="122">
        <f>IF(SUM($F68:BH68)&lt;$C68,$C68*$E68,0)</f>
        <v>0.83333333333333337</v>
      </c>
      <c r="BJ68" s="122">
        <f>IF(SUM($F68:BI68)&lt;$C68,$C68*$E68,0)</f>
        <v>0.83333333333333337</v>
      </c>
      <c r="BK68" s="122">
        <f>IF(SUM($F68:BJ68)&lt;$C68,$C68*$E68,0)</f>
        <v>0.83333333333333337</v>
      </c>
      <c r="BL68" s="122">
        <f>IF(SUM($F68:BK68)&lt;$C68,$C68*$E68,0)</f>
        <v>0.83333333333333337</v>
      </c>
      <c r="BM68" s="122">
        <f>IF(SUM($F68:BL68)&lt;$C68,$C68*$E68,0)</f>
        <v>0.83333333333333337</v>
      </c>
      <c r="BN68" s="122">
        <f>IF(SUM($F68:BM68)&lt;$C68,$C68*$E68,0)</f>
        <v>0.83333333333333337</v>
      </c>
      <c r="BO68" s="122">
        <f>IF(SUM($F68:BN68)&lt;$C68,$C68*$E68,0)</f>
        <v>0.83333333333333337</v>
      </c>
      <c r="BP68" s="122">
        <f>IF(SUM($F68:BO68)&lt;$C68,$C68*$E68,0)</f>
        <v>0.83333333333333337</v>
      </c>
      <c r="BQ68" s="122">
        <f>IF(SUM($F68:BP68)&lt;$C68,$C68*$E68,0)</f>
        <v>0.83333333333333337</v>
      </c>
      <c r="BR68" s="122">
        <f>IF(SUM($F68:BQ68)&lt;$C68,$C68*$E68,0)</f>
        <v>0.83333333333333337</v>
      </c>
      <c r="BS68" s="122">
        <f>IF(SUM($F68:BR68)&lt;$C68,$C68*$E68,0)</f>
        <v>0.83333333333333337</v>
      </c>
      <c r="BT68" s="122">
        <f>IF(SUM($F68:BS68)&lt;$C68,$C68*$E68,0)</f>
        <v>0.83333333333333337</v>
      </c>
      <c r="BU68" s="122">
        <f>IF(SUM($F68:BT68)&lt;$C68,$C68*$E68,0)</f>
        <v>0.83333333333333337</v>
      </c>
      <c r="BV68" s="122">
        <f>IF(SUM($F68:BU68)&lt;$C68,$C68*$E68,0)</f>
        <v>0.83333333333333337</v>
      </c>
      <c r="BW68" s="122">
        <f>IF(SUM($F68:BV68)&lt;$C68,$C68*$E68,0)</f>
        <v>0</v>
      </c>
      <c r="BX68" s="122">
        <f>IF(SUM($F68:BW68)&lt;$C68,$C68*$E68,0)</f>
        <v>0</v>
      </c>
      <c r="BY68" s="122">
        <f>IF(SUM($F68:BX68)&lt;$C68,$C68*$E68,0)</f>
        <v>0</v>
      </c>
      <c r="BZ68" s="122">
        <f>IF(SUM($F68:BY68)&lt;$C68,$C68*$E68,0)</f>
        <v>0</v>
      </c>
      <c r="CA68" s="122">
        <f>IF(SUM($F68:BZ68)&lt;$C68,$C68*$E68,0)</f>
        <v>0</v>
      </c>
      <c r="CB68" s="122">
        <f>IF(SUM($F68:CA68)&lt;$C68,$C68*$E68,0)</f>
        <v>0</v>
      </c>
    </row>
    <row r="69" spans="1:80" x14ac:dyDescent="0.25">
      <c r="A69" s="340">
        <v>11</v>
      </c>
      <c r="B69" s="398" t="str">
        <f t="shared" si="15"/>
        <v>Тент-беседка (кафе)</v>
      </c>
      <c r="C69" s="128">
        <f t="shared" si="15"/>
        <v>250</v>
      </c>
      <c r="D69" s="128">
        <f>'Книга допущений'!G$59</f>
        <v>60</v>
      </c>
      <c r="E69" s="399">
        <f t="shared" si="16"/>
        <v>1.6666666666666666E-2</v>
      </c>
      <c r="F69" s="122">
        <v>0</v>
      </c>
      <c r="G69" s="122">
        <v>0</v>
      </c>
      <c r="H69" s="122">
        <v>0</v>
      </c>
      <c r="I69" s="122">
        <v>0</v>
      </c>
      <c r="J69" s="122">
        <v>0</v>
      </c>
      <c r="K69" s="122">
        <v>0</v>
      </c>
      <c r="L69" s="122">
        <v>0</v>
      </c>
      <c r="M69" s="122">
        <v>0</v>
      </c>
      <c r="N69" s="122">
        <v>0</v>
      </c>
      <c r="O69" s="122">
        <f>IF(SUM($F69:N69)&lt;$C69,$C69*$E69,0)</f>
        <v>4.166666666666667</v>
      </c>
      <c r="P69" s="122">
        <f>IF(SUM($F69:O69)&lt;$C69,$C69*$E69,0)</f>
        <v>4.166666666666667</v>
      </c>
      <c r="Q69" s="122">
        <f>IF(SUM($F69:P69)&lt;$C69,$C69*$E69,0)</f>
        <v>4.166666666666667</v>
      </c>
      <c r="R69" s="122">
        <f>IF(SUM($F69:Q69)&lt;$C69,$C69*$E69,0)</f>
        <v>4.166666666666667</v>
      </c>
      <c r="S69" s="122">
        <f>IF(SUM($F69:R69)&lt;$C69,$C69*$E69,0)</f>
        <v>4.166666666666667</v>
      </c>
      <c r="T69" s="122">
        <f>IF(SUM($F69:S69)&lt;$C69,$C69*$E69,0)</f>
        <v>4.166666666666667</v>
      </c>
      <c r="U69" s="122">
        <f>IF(SUM($F69:T69)&lt;$C69,$C69*$E69,0)</f>
        <v>4.166666666666667</v>
      </c>
      <c r="V69" s="122">
        <f>IF(SUM($F69:U69)&lt;$C69,$C69*$E69,0)</f>
        <v>4.166666666666667</v>
      </c>
      <c r="W69" s="122">
        <f>IF(SUM($F69:V69)&lt;$C69,$C69*$E69,0)</f>
        <v>4.166666666666667</v>
      </c>
      <c r="X69" s="122">
        <f>IF(SUM($F69:W69)&lt;$C69,$C69*$E69,0)</f>
        <v>4.166666666666667</v>
      </c>
      <c r="Y69" s="122">
        <f>IF(SUM($F69:X69)&lt;$C69,$C69*$E69,0)</f>
        <v>4.166666666666667</v>
      </c>
      <c r="Z69" s="122">
        <f>IF(SUM($F69:Y69)&lt;$C69,$C69*$E69,0)</f>
        <v>4.166666666666667</v>
      </c>
      <c r="AA69" s="122">
        <f>IF(SUM($F69:Z69)&lt;$C69,$C69*$E69,0)</f>
        <v>4.166666666666667</v>
      </c>
      <c r="AB69" s="122">
        <f>IF(SUM($F69:AA69)&lt;$C69,$C69*$E69,0)</f>
        <v>4.166666666666667</v>
      </c>
      <c r="AC69" s="122">
        <f>IF(SUM($F69:AB69)&lt;$C69,$C69*$E69,0)</f>
        <v>4.166666666666667</v>
      </c>
      <c r="AD69" s="122">
        <f>IF(SUM($F69:AC69)&lt;$C69,$C69*$E69,0)</f>
        <v>4.166666666666667</v>
      </c>
      <c r="AE69" s="122">
        <f>IF(SUM($F69:AD69)&lt;$C69,$C69*$E69,0)</f>
        <v>4.166666666666667</v>
      </c>
      <c r="AF69" s="122">
        <f>IF(SUM($F69:AE69)&lt;$C69,$C69*$E69,0)</f>
        <v>4.166666666666667</v>
      </c>
      <c r="AG69" s="122">
        <f>IF(SUM($F69:AF69)&lt;$C69,$C69*$E69,0)</f>
        <v>4.166666666666667</v>
      </c>
      <c r="AH69" s="122">
        <f>IF(SUM($F69:AG69)&lt;$C69,$C69*$E69,0)</f>
        <v>4.166666666666667</v>
      </c>
      <c r="AI69" s="122">
        <f>IF(SUM($F69:AH69)&lt;$C69,$C69*$E69,0)</f>
        <v>4.166666666666667</v>
      </c>
      <c r="AJ69" s="122">
        <f>IF(SUM($F69:AI69)&lt;$C69,$C69*$E69,0)</f>
        <v>4.166666666666667</v>
      </c>
      <c r="AK69" s="122">
        <f>IF(SUM($F69:AJ69)&lt;$C69,$C69*$E69,0)</f>
        <v>4.166666666666667</v>
      </c>
      <c r="AL69" s="122">
        <f>IF(SUM($F69:AK69)&lt;$C69,$C69*$E69,0)</f>
        <v>4.166666666666667</v>
      </c>
      <c r="AM69" s="122">
        <f>IF(SUM($F69:AL69)&lt;$C69,$C69*$E69,0)</f>
        <v>4.166666666666667</v>
      </c>
      <c r="AN69" s="122">
        <f>IF(SUM($F69:AM69)&lt;$C69,$C69*$E69,0)</f>
        <v>4.166666666666667</v>
      </c>
      <c r="AO69" s="122">
        <f>IF(SUM($F69:AN69)&lt;$C69,$C69*$E69,0)</f>
        <v>4.166666666666667</v>
      </c>
      <c r="AP69" s="122">
        <f>IF(SUM($F69:AO69)&lt;$C69,$C69*$E69,0)</f>
        <v>4.166666666666667</v>
      </c>
      <c r="AQ69" s="122">
        <f>IF(SUM($F69:AP69)&lt;$C69,$C69*$E69,0)</f>
        <v>4.166666666666667</v>
      </c>
      <c r="AR69" s="122">
        <f>IF(SUM($F69:AQ69)&lt;$C69,$C69*$E69,0)</f>
        <v>4.166666666666667</v>
      </c>
      <c r="AS69" s="122">
        <f>IF(SUM($F69:AR69)&lt;$C69,$C69*$E69,0)</f>
        <v>4.166666666666667</v>
      </c>
      <c r="AT69" s="122">
        <f>IF(SUM($F69:AS69)&lt;$C69,$C69*$E69,0)</f>
        <v>4.166666666666667</v>
      </c>
      <c r="AU69" s="122">
        <f>IF(SUM($F69:AT69)&lt;$C69,$C69*$E69,0)</f>
        <v>4.166666666666667</v>
      </c>
      <c r="AV69" s="122">
        <f>IF(SUM($F69:AU69)&lt;$C69,$C69*$E69,0)</f>
        <v>4.166666666666667</v>
      </c>
      <c r="AW69" s="122">
        <f>IF(SUM($F69:AV69)&lt;$C69,$C69*$E69,0)</f>
        <v>4.166666666666667</v>
      </c>
      <c r="AX69" s="122">
        <f>IF(SUM($F69:AW69)&lt;$C69,$C69*$E69,0)</f>
        <v>4.166666666666667</v>
      </c>
      <c r="AY69" s="122">
        <f>IF(SUM($F69:AX69)&lt;$C69,$C69*$E69,0)</f>
        <v>4.166666666666667</v>
      </c>
      <c r="AZ69" s="122">
        <f>IF(SUM($F69:AY69)&lt;$C69,$C69*$E69,0)</f>
        <v>4.166666666666667</v>
      </c>
      <c r="BA69" s="122">
        <f>IF(SUM($F69:AZ69)&lt;$C69,$C69*$E69,0)</f>
        <v>4.166666666666667</v>
      </c>
      <c r="BB69" s="122">
        <f>IF(SUM($F69:BA69)&lt;$C69,$C69*$E69,0)</f>
        <v>4.166666666666667</v>
      </c>
      <c r="BC69" s="122">
        <f>IF(SUM($F69:BB69)&lt;$C69,$C69*$E69,0)</f>
        <v>4.166666666666667</v>
      </c>
      <c r="BD69" s="122">
        <f>IF(SUM($F69:BC69)&lt;$C69,$C69*$E69,0)</f>
        <v>4.166666666666667</v>
      </c>
      <c r="BE69" s="122">
        <f>IF(SUM($F69:BD69)&lt;$C69,$C69*$E69,0)</f>
        <v>4.166666666666667</v>
      </c>
      <c r="BF69" s="122">
        <f>IF(SUM($F69:BE69)&lt;$C69,$C69*$E69,0)</f>
        <v>4.166666666666667</v>
      </c>
      <c r="BG69" s="122">
        <f>IF(SUM($F69:BF69)&lt;$C69,$C69*$E69,0)</f>
        <v>4.166666666666667</v>
      </c>
      <c r="BH69" s="122">
        <f>IF(SUM($F69:BG69)&lt;$C69,$C69*$E69,0)</f>
        <v>4.166666666666667</v>
      </c>
      <c r="BI69" s="122">
        <f>IF(SUM($F69:BH69)&lt;$C69,$C69*$E69,0)</f>
        <v>4.166666666666667</v>
      </c>
      <c r="BJ69" s="122">
        <f>IF(SUM($F69:BI69)&lt;$C69,$C69*$E69,0)</f>
        <v>4.166666666666667</v>
      </c>
      <c r="BK69" s="122">
        <f>IF(SUM($F69:BJ69)&lt;$C69,$C69*$E69,0)</f>
        <v>4.166666666666667</v>
      </c>
      <c r="BL69" s="122">
        <f>IF(SUM($F69:BK69)&lt;$C69,$C69*$E69,0)</f>
        <v>4.166666666666667</v>
      </c>
      <c r="BM69" s="122">
        <f>IF(SUM($F69:BL69)&lt;$C69,$C69*$E69,0)</f>
        <v>4.166666666666667</v>
      </c>
      <c r="BN69" s="122">
        <f>IF(SUM($F69:BM69)&lt;$C69,$C69*$E69,0)</f>
        <v>4.166666666666667</v>
      </c>
      <c r="BO69" s="122">
        <f>IF(SUM($F69:BN69)&lt;$C69,$C69*$E69,0)</f>
        <v>4.166666666666667</v>
      </c>
      <c r="BP69" s="122">
        <f>IF(SUM($F69:BO69)&lt;$C69,$C69*$E69,0)</f>
        <v>4.166666666666667</v>
      </c>
      <c r="BQ69" s="122">
        <f>IF(SUM($F69:BP69)&lt;$C69,$C69*$E69,0)</f>
        <v>4.166666666666667</v>
      </c>
      <c r="BR69" s="122">
        <f>IF(SUM($F69:BQ69)&lt;$C69,$C69*$E69,0)</f>
        <v>4.166666666666667</v>
      </c>
      <c r="BS69" s="122">
        <f>IF(SUM($F69:BR69)&lt;$C69,$C69*$E69,0)</f>
        <v>4.166666666666667</v>
      </c>
      <c r="BT69" s="122">
        <f>IF(SUM($F69:BS69)&lt;$C69,$C69*$E69,0)</f>
        <v>4.166666666666667</v>
      </c>
      <c r="BU69" s="122">
        <f>IF(SUM($F69:BT69)&lt;$C69,$C69*$E69,0)</f>
        <v>4.166666666666667</v>
      </c>
      <c r="BV69" s="122">
        <f>IF(SUM($F69:BU69)&lt;$C69,$C69*$E69,0)</f>
        <v>4.166666666666667</v>
      </c>
      <c r="BW69" s="122">
        <f>IF(SUM($F69:BV69)&lt;$C69,$C69*$E69,0)</f>
        <v>0</v>
      </c>
      <c r="BX69" s="122">
        <f>IF(SUM($F69:BW69)&lt;$C69,$C69*$E69,0)</f>
        <v>0</v>
      </c>
      <c r="BY69" s="122">
        <f>IF(SUM($F69:BX69)&lt;$C69,$C69*$E69,0)</f>
        <v>0</v>
      </c>
      <c r="BZ69" s="122">
        <f>IF(SUM($F69:BY69)&lt;$C69,$C69*$E69,0)</f>
        <v>0</v>
      </c>
      <c r="CA69" s="122">
        <f>IF(SUM($F69:BZ69)&lt;$C69,$C69*$E69,0)</f>
        <v>0</v>
      </c>
      <c r="CB69" s="122">
        <f>IF(SUM($F69:CA69)&lt;$C69,$C69*$E69,0)</f>
        <v>0</v>
      </c>
    </row>
    <row r="70" spans="1:80" x14ac:dyDescent="0.25">
      <c r="A70" s="340">
        <v>12</v>
      </c>
      <c r="B70" s="398" t="str">
        <f t="shared" si="15"/>
        <v>Прокат/байкшеринг</v>
      </c>
      <c r="C70" s="128">
        <f t="shared" si="15"/>
        <v>400</v>
      </c>
      <c r="D70" s="128">
        <f>'Книга допущений'!G$59</f>
        <v>60</v>
      </c>
      <c r="E70" s="399">
        <f t="shared" si="16"/>
        <v>1.6666666666666666E-2</v>
      </c>
      <c r="F70" s="122">
        <v>0</v>
      </c>
      <c r="G70" s="122">
        <v>0</v>
      </c>
      <c r="H70" s="122">
        <v>0</v>
      </c>
      <c r="I70" s="122">
        <v>0</v>
      </c>
      <c r="J70" s="122">
        <v>0</v>
      </c>
      <c r="K70" s="122">
        <v>0</v>
      </c>
      <c r="L70" s="122">
        <v>0</v>
      </c>
      <c r="M70" s="122">
        <v>0</v>
      </c>
      <c r="N70" s="122">
        <v>0</v>
      </c>
      <c r="O70" s="122">
        <f>IF(SUM($F70:N70)&lt;$C70,$C70*$E70,0)</f>
        <v>6.666666666666667</v>
      </c>
      <c r="P70" s="122">
        <f>IF(SUM($F70:O70)&lt;$C70,$C70*$E70,0)</f>
        <v>6.666666666666667</v>
      </c>
      <c r="Q70" s="122">
        <f>IF(SUM($F70:P70)&lt;$C70,$C70*$E70,0)</f>
        <v>6.666666666666667</v>
      </c>
      <c r="R70" s="122">
        <f>IF(SUM($F70:Q70)&lt;$C70,$C70*$E70,0)</f>
        <v>6.666666666666667</v>
      </c>
      <c r="S70" s="122">
        <f>IF(SUM($F70:R70)&lt;$C70,$C70*$E70,0)</f>
        <v>6.666666666666667</v>
      </c>
      <c r="T70" s="122">
        <f>IF(SUM($F70:S70)&lt;$C70,$C70*$E70,0)</f>
        <v>6.666666666666667</v>
      </c>
      <c r="U70" s="122">
        <f>IF(SUM($F70:T70)&lt;$C70,$C70*$E70,0)</f>
        <v>6.666666666666667</v>
      </c>
      <c r="V70" s="122">
        <f>IF(SUM($F70:U70)&lt;$C70,$C70*$E70,0)</f>
        <v>6.666666666666667</v>
      </c>
      <c r="W70" s="122">
        <f>IF(SUM($F70:V70)&lt;$C70,$C70*$E70,0)</f>
        <v>6.666666666666667</v>
      </c>
      <c r="X70" s="122">
        <f>IF(SUM($F70:W70)&lt;$C70,$C70*$E70,0)</f>
        <v>6.666666666666667</v>
      </c>
      <c r="Y70" s="122">
        <f>IF(SUM($F70:X70)&lt;$C70,$C70*$E70,0)</f>
        <v>6.666666666666667</v>
      </c>
      <c r="Z70" s="122">
        <f>IF(SUM($F70:Y70)&lt;$C70,$C70*$E70,0)</f>
        <v>6.666666666666667</v>
      </c>
      <c r="AA70" s="122">
        <f>IF(SUM($F70:Z70)&lt;$C70,$C70*$E70,0)</f>
        <v>6.666666666666667</v>
      </c>
      <c r="AB70" s="122">
        <f>IF(SUM($F70:AA70)&lt;$C70,$C70*$E70,0)</f>
        <v>6.666666666666667</v>
      </c>
      <c r="AC70" s="122">
        <f>IF(SUM($F70:AB70)&lt;$C70,$C70*$E70,0)</f>
        <v>6.666666666666667</v>
      </c>
      <c r="AD70" s="122">
        <f>IF(SUM($F70:AC70)&lt;$C70,$C70*$E70,0)</f>
        <v>6.666666666666667</v>
      </c>
      <c r="AE70" s="122">
        <f>IF(SUM($F70:AD70)&lt;$C70,$C70*$E70,0)</f>
        <v>6.666666666666667</v>
      </c>
      <c r="AF70" s="122">
        <f>IF(SUM($F70:AE70)&lt;$C70,$C70*$E70,0)</f>
        <v>6.666666666666667</v>
      </c>
      <c r="AG70" s="122">
        <f>IF(SUM($F70:AF70)&lt;$C70,$C70*$E70,0)</f>
        <v>6.666666666666667</v>
      </c>
      <c r="AH70" s="122">
        <f>IF(SUM($F70:AG70)&lt;$C70,$C70*$E70,0)</f>
        <v>6.666666666666667</v>
      </c>
      <c r="AI70" s="122">
        <f>IF(SUM($F70:AH70)&lt;$C70,$C70*$E70,0)</f>
        <v>6.666666666666667</v>
      </c>
      <c r="AJ70" s="122">
        <f>IF(SUM($F70:AI70)&lt;$C70,$C70*$E70,0)</f>
        <v>6.666666666666667</v>
      </c>
      <c r="AK70" s="122">
        <f>IF(SUM($F70:AJ70)&lt;$C70,$C70*$E70,0)</f>
        <v>6.666666666666667</v>
      </c>
      <c r="AL70" s="122">
        <f>IF(SUM($F70:AK70)&lt;$C70,$C70*$E70,0)</f>
        <v>6.666666666666667</v>
      </c>
      <c r="AM70" s="122">
        <f>IF(SUM($F70:AL70)&lt;$C70,$C70*$E70,0)</f>
        <v>6.666666666666667</v>
      </c>
      <c r="AN70" s="122">
        <f>IF(SUM($F70:AM70)&lt;$C70,$C70*$E70,0)</f>
        <v>6.666666666666667</v>
      </c>
      <c r="AO70" s="122">
        <f>IF(SUM($F70:AN70)&lt;$C70,$C70*$E70,0)</f>
        <v>6.666666666666667</v>
      </c>
      <c r="AP70" s="122">
        <f>IF(SUM($F70:AO70)&lt;$C70,$C70*$E70,0)</f>
        <v>6.666666666666667</v>
      </c>
      <c r="AQ70" s="122">
        <f>IF(SUM($F70:AP70)&lt;$C70,$C70*$E70,0)</f>
        <v>6.666666666666667</v>
      </c>
      <c r="AR70" s="122">
        <f>IF(SUM($F70:AQ70)&lt;$C70,$C70*$E70,0)</f>
        <v>6.666666666666667</v>
      </c>
      <c r="AS70" s="122">
        <f>IF(SUM($F70:AR70)&lt;$C70,$C70*$E70,0)</f>
        <v>6.666666666666667</v>
      </c>
      <c r="AT70" s="122">
        <f>IF(SUM($F70:AS70)&lt;$C70,$C70*$E70,0)</f>
        <v>6.666666666666667</v>
      </c>
      <c r="AU70" s="122">
        <f>IF(SUM($F70:AT70)&lt;$C70,$C70*$E70,0)</f>
        <v>6.666666666666667</v>
      </c>
      <c r="AV70" s="122">
        <f>IF(SUM($F70:AU70)&lt;$C70,$C70*$E70,0)</f>
        <v>6.666666666666667</v>
      </c>
      <c r="AW70" s="122">
        <f>IF(SUM($F70:AV70)&lt;$C70,$C70*$E70,0)</f>
        <v>6.666666666666667</v>
      </c>
      <c r="AX70" s="122">
        <f>IF(SUM($F70:AW70)&lt;$C70,$C70*$E70,0)</f>
        <v>6.666666666666667</v>
      </c>
      <c r="AY70" s="122">
        <f>IF(SUM($F70:AX70)&lt;$C70,$C70*$E70,0)</f>
        <v>6.666666666666667</v>
      </c>
      <c r="AZ70" s="122">
        <f>IF(SUM($F70:AY70)&lt;$C70,$C70*$E70,0)</f>
        <v>6.666666666666667</v>
      </c>
      <c r="BA70" s="122">
        <f>IF(SUM($F70:AZ70)&lt;$C70,$C70*$E70,0)</f>
        <v>6.666666666666667</v>
      </c>
      <c r="BB70" s="122">
        <f>IF(SUM($F70:BA70)&lt;$C70,$C70*$E70,0)</f>
        <v>6.666666666666667</v>
      </c>
      <c r="BC70" s="122">
        <f>IF(SUM($F70:BB70)&lt;$C70,$C70*$E70,0)</f>
        <v>6.666666666666667</v>
      </c>
      <c r="BD70" s="122">
        <f>IF(SUM($F70:BC70)&lt;$C70,$C70*$E70,0)</f>
        <v>6.666666666666667</v>
      </c>
      <c r="BE70" s="122">
        <f>IF(SUM($F70:BD70)&lt;$C70,$C70*$E70,0)</f>
        <v>6.666666666666667</v>
      </c>
      <c r="BF70" s="122">
        <f>IF(SUM($F70:BE70)&lt;$C70,$C70*$E70,0)</f>
        <v>6.666666666666667</v>
      </c>
      <c r="BG70" s="122">
        <f>IF(SUM($F70:BF70)&lt;$C70,$C70*$E70,0)</f>
        <v>6.666666666666667</v>
      </c>
      <c r="BH70" s="122">
        <f>IF(SUM($F70:BG70)&lt;$C70,$C70*$E70,0)</f>
        <v>6.666666666666667</v>
      </c>
      <c r="BI70" s="122">
        <f>IF(SUM($F70:BH70)&lt;$C70,$C70*$E70,0)</f>
        <v>6.666666666666667</v>
      </c>
      <c r="BJ70" s="122">
        <f>IF(SUM($F70:BI70)&lt;$C70,$C70*$E70,0)</f>
        <v>6.666666666666667</v>
      </c>
      <c r="BK70" s="122">
        <f>IF(SUM($F70:BJ70)&lt;$C70,$C70*$E70,0)</f>
        <v>6.666666666666667</v>
      </c>
      <c r="BL70" s="122">
        <f>IF(SUM($F70:BK70)&lt;$C70,$C70*$E70,0)</f>
        <v>6.666666666666667</v>
      </c>
      <c r="BM70" s="122">
        <f>IF(SUM($F70:BL70)&lt;$C70,$C70*$E70,0)</f>
        <v>6.666666666666667</v>
      </c>
      <c r="BN70" s="122">
        <f>IF(SUM($F70:BM70)&lt;$C70,$C70*$E70,0)</f>
        <v>6.666666666666667</v>
      </c>
      <c r="BO70" s="122">
        <f>IF(SUM($F70:BN70)&lt;$C70,$C70*$E70,0)</f>
        <v>6.666666666666667</v>
      </c>
      <c r="BP70" s="122">
        <f>IF(SUM($F70:BO70)&lt;$C70,$C70*$E70,0)</f>
        <v>6.666666666666667</v>
      </c>
      <c r="BQ70" s="122">
        <f>IF(SUM($F70:BP70)&lt;$C70,$C70*$E70,0)</f>
        <v>6.666666666666667</v>
      </c>
      <c r="BR70" s="122">
        <f>IF(SUM($F70:BQ70)&lt;$C70,$C70*$E70,0)</f>
        <v>6.666666666666667</v>
      </c>
      <c r="BS70" s="122">
        <f>IF(SUM($F70:BR70)&lt;$C70,$C70*$E70,0)</f>
        <v>6.666666666666667</v>
      </c>
      <c r="BT70" s="122">
        <f>IF(SUM($F70:BS70)&lt;$C70,$C70*$E70,0)</f>
        <v>6.666666666666667</v>
      </c>
      <c r="BU70" s="122">
        <f>IF(SUM($F70:BT70)&lt;$C70,$C70*$E70,0)</f>
        <v>6.666666666666667</v>
      </c>
      <c r="BV70" s="122">
        <f>IF(SUM($F70:BU70)&lt;$C70,$C70*$E70,0)</f>
        <v>6.666666666666667</v>
      </c>
      <c r="BW70" s="122">
        <f>IF(SUM($F70:BV70)&lt;$C70,$C70*$E70,0)</f>
        <v>0</v>
      </c>
      <c r="BX70" s="122">
        <f>IF(SUM($F70:BW70)&lt;$C70,$C70*$E70,0)</f>
        <v>0</v>
      </c>
      <c r="BY70" s="122">
        <f>IF(SUM($F70:BX70)&lt;$C70,$C70*$E70,0)</f>
        <v>0</v>
      </c>
      <c r="BZ70" s="122">
        <f>IF(SUM($F70:BY70)&lt;$C70,$C70*$E70,0)</f>
        <v>0</v>
      </c>
      <c r="CA70" s="122">
        <f>IF(SUM($F70:BZ70)&lt;$C70,$C70*$E70,0)</f>
        <v>0</v>
      </c>
      <c r="CB70" s="122">
        <f>IF(SUM($F70:CA70)&lt;$C70,$C70*$E70,0)</f>
        <v>0</v>
      </c>
    </row>
    <row r="71" spans="1:80" x14ac:dyDescent="0.25">
      <c r="A71" s="410"/>
      <c r="B71" s="411" t="str">
        <f t="shared" ref="B71" si="17">B33</f>
        <v>Всего</v>
      </c>
      <c r="C71" s="412">
        <f>SUM(C59:C70)</f>
        <v>75723.116652800003</v>
      </c>
      <c r="D71" s="412"/>
      <c r="E71" s="412"/>
      <c r="F71" s="412">
        <f>SUM(F59:F70)</f>
        <v>0</v>
      </c>
      <c r="G71" s="412">
        <f t="shared" ref="G71:BR71" si="18">SUM(G59:G70)</f>
        <v>0</v>
      </c>
      <c r="H71" s="412">
        <f t="shared" si="18"/>
        <v>0</v>
      </c>
      <c r="I71" s="412">
        <f t="shared" si="18"/>
        <v>0</v>
      </c>
      <c r="J71" s="412">
        <f t="shared" si="18"/>
        <v>0</v>
      </c>
      <c r="K71" s="412">
        <f t="shared" si="18"/>
        <v>0</v>
      </c>
      <c r="L71" s="412">
        <f t="shared" si="18"/>
        <v>0</v>
      </c>
      <c r="M71" s="412">
        <f t="shared" si="18"/>
        <v>0</v>
      </c>
      <c r="N71" s="412">
        <f t="shared" si="18"/>
        <v>0</v>
      </c>
      <c r="O71" s="412">
        <f t="shared" si="18"/>
        <v>646.26406734476177</v>
      </c>
      <c r="P71" s="412">
        <f t="shared" si="18"/>
        <v>646.26406734476177</v>
      </c>
      <c r="Q71" s="412">
        <f t="shared" si="18"/>
        <v>646.26406734476177</v>
      </c>
      <c r="R71" s="412">
        <f t="shared" si="18"/>
        <v>646.26406734476177</v>
      </c>
      <c r="S71" s="412">
        <f t="shared" si="18"/>
        <v>646.26406734476177</v>
      </c>
      <c r="T71" s="412">
        <f t="shared" si="18"/>
        <v>646.26406734476177</v>
      </c>
      <c r="U71" s="412">
        <f t="shared" si="18"/>
        <v>646.26406734476177</v>
      </c>
      <c r="V71" s="412">
        <f t="shared" si="18"/>
        <v>646.26406734476177</v>
      </c>
      <c r="W71" s="412">
        <f t="shared" si="18"/>
        <v>646.26406734476177</v>
      </c>
      <c r="X71" s="412">
        <f t="shared" si="18"/>
        <v>646.26406734476177</v>
      </c>
      <c r="Y71" s="412">
        <f t="shared" si="18"/>
        <v>646.26406734476177</v>
      </c>
      <c r="Z71" s="412">
        <f t="shared" si="18"/>
        <v>646.26406734476177</v>
      </c>
      <c r="AA71" s="412">
        <f t="shared" si="18"/>
        <v>646.26406734476177</v>
      </c>
      <c r="AB71" s="412">
        <f t="shared" si="18"/>
        <v>646.26406734476177</v>
      </c>
      <c r="AC71" s="412">
        <f t="shared" si="18"/>
        <v>646.26406734476177</v>
      </c>
      <c r="AD71" s="412">
        <f t="shared" si="18"/>
        <v>646.26406734476177</v>
      </c>
      <c r="AE71" s="412">
        <f t="shared" si="18"/>
        <v>646.26406734476177</v>
      </c>
      <c r="AF71" s="412">
        <f t="shared" si="18"/>
        <v>646.26406734476177</v>
      </c>
      <c r="AG71" s="412">
        <f t="shared" si="18"/>
        <v>646.26406734476177</v>
      </c>
      <c r="AH71" s="412">
        <f t="shared" si="18"/>
        <v>646.26406734476177</v>
      </c>
      <c r="AI71" s="412">
        <f t="shared" si="18"/>
        <v>646.26406734476177</v>
      </c>
      <c r="AJ71" s="412">
        <f t="shared" si="18"/>
        <v>646.26406734476177</v>
      </c>
      <c r="AK71" s="412">
        <f t="shared" si="18"/>
        <v>646.26406734476177</v>
      </c>
      <c r="AL71" s="412">
        <f t="shared" si="18"/>
        <v>646.26406734476177</v>
      </c>
      <c r="AM71" s="412">
        <f t="shared" si="18"/>
        <v>646.26406734476177</v>
      </c>
      <c r="AN71" s="412">
        <f t="shared" si="18"/>
        <v>646.26406734476177</v>
      </c>
      <c r="AO71" s="412">
        <f t="shared" si="18"/>
        <v>646.26406734476177</v>
      </c>
      <c r="AP71" s="412">
        <f t="shared" si="18"/>
        <v>646.26406734476177</v>
      </c>
      <c r="AQ71" s="412">
        <f t="shared" si="18"/>
        <v>646.26406734476177</v>
      </c>
      <c r="AR71" s="412">
        <f t="shared" si="18"/>
        <v>646.26406734476177</v>
      </c>
      <c r="AS71" s="412">
        <f t="shared" si="18"/>
        <v>646.26406734476177</v>
      </c>
      <c r="AT71" s="412">
        <f t="shared" si="18"/>
        <v>646.26406734476177</v>
      </c>
      <c r="AU71" s="412">
        <f t="shared" si="18"/>
        <v>646.26406734476177</v>
      </c>
      <c r="AV71" s="412">
        <f t="shared" si="18"/>
        <v>646.26406734476177</v>
      </c>
      <c r="AW71" s="412">
        <f t="shared" si="18"/>
        <v>646.26406734476177</v>
      </c>
      <c r="AX71" s="412">
        <f t="shared" si="18"/>
        <v>646.26406734476177</v>
      </c>
      <c r="AY71" s="412">
        <f t="shared" si="18"/>
        <v>646.26406734476177</v>
      </c>
      <c r="AZ71" s="412">
        <f t="shared" si="18"/>
        <v>646.26406734476177</v>
      </c>
      <c r="BA71" s="412">
        <f t="shared" si="18"/>
        <v>646.26406734476177</v>
      </c>
      <c r="BB71" s="412">
        <f t="shared" si="18"/>
        <v>646.26406734476177</v>
      </c>
      <c r="BC71" s="412">
        <f t="shared" si="18"/>
        <v>646.26406734476177</v>
      </c>
      <c r="BD71" s="412">
        <f t="shared" si="18"/>
        <v>646.26406734476177</v>
      </c>
      <c r="BE71" s="412">
        <f t="shared" si="18"/>
        <v>646.26406734476177</v>
      </c>
      <c r="BF71" s="412">
        <f t="shared" si="18"/>
        <v>646.26406734476177</v>
      </c>
      <c r="BG71" s="412">
        <f t="shared" si="18"/>
        <v>646.26406734476177</v>
      </c>
      <c r="BH71" s="412">
        <f t="shared" si="18"/>
        <v>646.26406734476177</v>
      </c>
      <c r="BI71" s="412">
        <f t="shared" si="18"/>
        <v>646.26406734476177</v>
      </c>
      <c r="BJ71" s="412">
        <f t="shared" si="18"/>
        <v>646.26406734476177</v>
      </c>
      <c r="BK71" s="412">
        <f t="shared" si="18"/>
        <v>646.26406734476177</v>
      </c>
      <c r="BL71" s="412">
        <f t="shared" si="18"/>
        <v>646.26406734476177</v>
      </c>
      <c r="BM71" s="412">
        <f t="shared" si="18"/>
        <v>646.26406734476177</v>
      </c>
      <c r="BN71" s="412">
        <f t="shared" si="18"/>
        <v>646.26406734476177</v>
      </c>
      <c r="BO71" s="412">
        <f t="shared" si="18"/>
        <v>646.26406734476177</v>
      </c>
      <c r="BP71" s="412">
        <f t="shared" si="18"/>
        <v>646.26406734476177</v>
      </c>
      <c r="BQ71" s="412">
        <f t="shared" si="18"/>
        <v>646.26406734476177</v>
      </c>
      <c r="BR71" s="412">
        <f t="shared" si="18"/>
        <v>646.26406734476177</v>
      </c>
      <c r="BS71" s="412">
        <f t="shared" ref="BS71:CB71" si="19">SUM(BS59:BS70)</f>
        <v>646.26406734476177</v>
      </c>
      <c r="BT71" s="412">
        <f t="shared" si="19"/>
        <v>646.26406734476177</v>
      </c>
      <c r="BU71" s="412">
        <f t="shared" si="19"/>
        <v>646.26406734476177</v>
      </c>
      <c r="BV71" s="412">
        <f t="shared" si="19"/>
        <v>646.26406734476177</v>
      </c>
      <c r="BW71" s="412">
        <f t="shared" si="19"/>
        <v>622.93073401142851</v>
      </c>
      <c r="BX71" s="412">
        <f t="shared" si="19"/>
        <v>622.93073401142851</v>
      </c>
      <c r="BY71" s="412">
        <f t="shared" si="19"/>
        <v>622.93073401142851</v>
      </c>
      <c r="BZ71" s="412">
        <f t="shared" si="19"/>
        <v>622.93073401142851</v>
      </c>
      <c r="CA71" s="412">
        <f t="shared" si="19"/>
        <v>622.93073401142851</v>
      </c>
      <c r="CB71" s="412">
        <f t="shared" si="19"/>
        <v>622.93073401142851</v>
      </c>
    </row>
    <row r="72" spans="1:80" x14ac:dyDescent="0.25">
      <c r="A72" s="413"/>
      <c r="B72" s="414" t="s">
        <v>598</v>
      </c>
      <c r="C72" s="415"/>
      <c r="D72" s="415"/>
      <c r="E72" s="415"/>
      <c r="F72" s="415">
        <v>0</v>
      </c>
      <c r="G72" s="415">
        <v>0</v>
      </c>
      <c r="H72" s="415">
        <v>0</v>
      </c>
      <c r="I72" s="415">
        <v>0</v>
      </c>
      <c r="J72" s="415">
        <v>0</v>
      </c>
      <c r="K72" s="415">
        <v>0</v>
      </c>
      <c r="L72" s="415">
        <v>0</v>
      </c>
      <c r="M72" s="415">
        <v>0</v>
      </c>
      <c r="N72" s="415">
        <v>0</v>
      </c>
      <c r="O72" s="415">
        <f>C71</f>
        <v>75723.116652800003</v>
      </c>
      <c r="P72" s="415">
        <f t="shared" ref="P72:Q72" si="20">O72-P71</f>
        <v>75076.852585455243</v>
      </c>
      <c r="Q72" s="415">
        <f t="shared" si="20"/>
        <v>74430.588518110482</v>
      </c>
      <c r="R72" s="415">
        <f>Q72-R71</f>
        <v>73784.324450765722</v>
      </c>
      <c r="S72" s="415">
        <f t="shared" ref="S72:BX72" si="21">R72-S71</f>
        <v>73138.060383420961</v>
      </c>
      <c r="T72" s="415">
        <f t="shared" si="21"/>
        <v>72491.796316076201</v>
      </c>
      <c r="U72" s="415">
        <f t="shared" si="21"/>
        <v>71845.532248731441</v>
      </c>
      <c r="V72" s="415">
        <f t="shared" si="21"/>
        <v>71199.26818138668</v>
      </c>
      <c r="W72" s="415">
        <f t="shared" si="21"/>
        <v>70553.00411404192</v>
      </c>
      <c r="X72" s="415">
        <f t="shared" si="21"/>
        <v>69906.740046697159</v>
      </c>
      <c r="Y72" s="415">
        <f t="shared" si="21"/>
        <v>69260.475979352399</v>
      </c>
      <c r="Z72" s="415">
        <f t="shared" si="21"/>
        <v>68614.211912007639</v>
      </c>
      <c r="AA72" s="415">
        <f t="shared" si="21"/>
        <v>67967.947844662878</v>
      </c>
      <c r="AB72" s="415">
        <f t="shared" si="21"/>
        <v>67321.683777318118</v>
      </c>
      <c r="AC72" s="415">
        <f t="shared" si="21"/>
        <v>66675.419709973357</v>
      </c>
      <c r="AD72" s="415">
        <f t="shared" si="21"/>
        <v>66029.155642628597</v>
      </c>
      <c r="AE72" s="415">
        <f t="shared" si="21"/>
        <v>65382.891575283837</v>
      </c>
      <c r="AF72" s="415">
        <f t="shared" si="21"/>
        <v>64736.627507939076</v>
      </c>
      <c r="AG72" s="415">
        <f t="shared" si="21"/>
        <v>64090.363440594316</v>
      </c>
      <c r="AH72" s="415">
        <f t="shared" si="21"/>
        <v>63444.099373249555</v>
      </c>
      <c r="AI72" s="415">
        <f t="shared" si="21"/>
        <v>62797.835305904795</v>
      </c>
      <c r="AJ72" s="415">
        <f t="shared" si="21"/>
        <v>62151.571238560035</v>
      </c>
      <c r="AK72" s="415">
        <f t="shared" si="21"/>
        <v>61505.307171215274</v>
      </c>
      <c r="AL72" s="415">
        <f t="shared" si="21"/>
        <v>60859.043103870514</v>
      </c>
      <c r="AM72" s="415">
        <f t="shared" si="21"/>
        <v>60212.779036525753</v>
      </c>
      <c r="AN72" s="415">
        <f t="shared" si="21"/>
        <v>59566.514969180993</v>
      </c>
      <c r="AO72" s="415">
        <f t="shared" si="21"/>
        <v>58920.250901836233</v>
      </c>
      <c r="AP72" s="415">
        <f t="shared" si="21"/>
        <v>58273.986834491472</v>
      </c>
      <c r="AQ72" s="415">
        <f t="shared" si="21"/>
        <v>57627.722767146712</v>
      </c>
      <c r="AR72" s="415">
        <f t="shared" si="21"/>
        <v>56981.458699801951</v>
      </c>
      <c r="AS72" s="415">
        <f t="shared" si="21"/>
        <v>56335.194632457191</v>
      </c>
      <c r="AT72" s="415">
        <f t="shared" si="21"/>
        <v>55688.93056511243</v>
      </c>
      <c r="AU72" s="415">
        <f t="shared" si="21"/>
        <v>55042.66649776767</v>
      </c>
      <c r="AV72" s="415">
        <f t="shared" si="21"/>
        <v>54396.40243042291</v>
      </c>
      <c r="AW72" s="415">
        <f t="shared" si="21"/>
        <v>53750.138363078149</v>
      </c>
      <c r="AX72" s="415">
        <f t="shared" si="21"/>
        <v>53103.874295733389</v>
      </c>
      <c r="AY72" s="415">
        <f t="shared" si="21"/>
        <v>52457.610228388628</v>
      </c>
      <c r="AZ72" s="415">
        <f t="shared" si="21"/>
        <v>51811.346161043868</v>
      </c>
      <c r="BA72" s="415">
        <f t="shared" si="21"/>
        <v>51165.082093699108</v>
      </c>
      <c r="BB72" s="415">
        <f t="shared" si="21"/>
        <v>50518.818026354347</v>
      </c>
      <c r="BC72" s="415">
        <f t="shared" si="21"/>
        <v>49872.553959009587</v>
      </c>
      <c r="BD72" s="415">
        <f t="shared" si="21"/>
        <v>49226.289891664826</v>
      </c>
      <c r="BE72" s="415">
        <f t="shared" si="21"/>
        <v>48580.025824320066</v>
      </c>
      <c r="BF72" s="415">
        <f t="shared" si="21"/>
        <v>47933.761756975306</v>
      </c>
      <c r="BG72" s="415">
        <f t="shared" si="21"/>
        <v>47287.497689630545</v>
      </c>
      <c r="BH72" s="415">
        <f t="shared" si="21"/>
        <v>46641.233622285785</v>
      </c>
      <c r="BI72" s="415">
        <f t="shared" si="21"/>
        <v>45994.969554941024</v>
      </c>
      <c r="BJ72" s="415">
        <f t="shared" si="21"/>
        <v>45348.705487596264</v>
      </c>
      <c r="BK72" s="415">
        <f t="shared" si="21"/>
        <v>44702.441420251504</v>
      </c>
      <c r="BL72" s="415">
        <f t="shared" si="21"/>
        <v>44056.177352906743</v>
      </c>
      <c r="BM72" s="415">
        <f t="shared" si="21"/>
        <v>43409.913285561983</v>
      </c>
      <c r="BN72" s="415">
        <f t="shared" si="21"/>
        <v>42763.649218217222</v>
      </c>
      <c r="BO72" s="415">
        <f t="shared" si="21"/>
        <v>42117.385150872462</v>
      </c>
      <c r="BP72" s="415">
        <f t="shared" si="21"/>
        <v>41471.121083527702</v>
      </c>
      <c r="BQ72" s="415">
        <f t="shared" si="21"/>
        <v>40824.857016182941</v>
      </c>
      <c r="BR72" s="415">
        <f t="shared" si="21"/>
        <v>40178.592948838181</v>
      </c>
      <c r="BS72" s="415">
        <f t="shared" si="21"/>
        <v>39532.32888149342</v>
      </c>
      <c r="BT72" s="415">
        <f t="shared" si="21"/>
        <v>38886.06481414866</v>
      </c>
      <c r="BU72" s="415">
        <f t="shared" si="21"/>
        <v>38239.8007468039</v>
      </c>
      <c r="BV72" s="415">
        <f t="shared" si="21"/>
        <v>37593.536679459139</v>
      </c>
      <c r="BW72" s="415">
        <f t="shared" si="21"/>
        <v>36970.605945447707</v>
      </c>
      <c r="BX72" s="415">
        <f t="shared" si="21"/>
        <v>36347.675211436275</v>
      </c>
      <c r="BY72" s="415">
        <f t="shared" ref="BY72" si="22">BX72-BY71</f>
        <v>35724.744477424843</v>
      </c>
      <c r="BZ72" s="415">
        <f t="shared" ref="BZ72" si="23">BY72-BZ71</f>
        <v>35101.813743413411</v>
      </c>
      <c r="CA72" s="415">
        <f t="shared" ref="CA72" si="24">BZ72-CA71</f>
        <v>34478.88300940198</v>
      </c>
      <c r="CB72" s="415">
        <f t="shared" ref="CB72" si="25">CA72-CB71</f>
        <v>33855.952275390548</v>
      </c>
    </row>
    <row r="73" spans="1:80" x14ac:dyDescent="0.25">
      <c r="A73" s="397"/>
      <c r="B73" s="397" t="str">
        <f>'Книга допущений'!A189</f>
        <v>Страхование объектов</v>
      </c>
      <c r="C73" s="421"/>
      <c r="D73" s="421"/>
      <c r="E73" s="421"/>
      <c r="F73" s="421">
        <f>IF(MONTH(Вложения!F58)=1,Вложения!F72*'Книга допущений'!$B$189/12,Вложения!E73)</f>
        <v>0</v>
      </c>
      <c r="G73" s="421">
        <f>IF(MONTH(Вложения!G58)=1,Вложения!G72*'Книга допущений'!$B$189/12,Вложения!F73)</f>
        <v>0</v>
      </c>
      <c r="H73" s="421">
        <f>IF(MONTH(Вложения!H58)=1,Вложения!H72*'Книга допущений'!$B$189/12,Вложения!G73)</f>
        <v>0</v>
      </c>
      <c r="I73" s="421">
        <f>IF(MONTH(Вложения!I58)=1,Вложения!I72*'Книга допущений'!$B$189/12,Вложения!H73)</f>
        <v>0</v>
      </c>
      <c r="J73" s="421">
        <f>IF(MONTH(Вложения!J58)=1,Вложения!J72*'Книга допущений'!$B$189/12,Вложения!I73)</f>
        <v>0</v>
      </c>
      <c r="K73" s="421">
        <f>IF(MONTH(Вложения!K58)=1,Вложения!K72*'Книга допущений'!$B$189/12,Вложения!J73)</f>
        <v>0</v>
      </c>
      <c r="L73" s="421">
        <f>IF(MONTH(Вложения!L58)=1,Вложения!L72*'Книга допущений'!$B$189/12,Вложения!K73)</f>
        <v>0</v>
      </c>
      <c r="M73" s="421">
        <f>IF(MONTH(Вложения!M58)=1,Вложения!M72*'Книга допущений'!$B$189/12,Вложения!L73)</f>
        <v>0</v>
      </c>
      <c r="N73" s="421">
        <f>IF(MONTH(Вложения!N58)=1,Вложения!N72*'Книга допущений'!$B$189/12,Вложения!M73)</f>
        <v>0</v>
      </c>
      <c r="O73" s="421">
        <f>O72*'Книга допущений'!$B189/12</f>
        <v>126.20519442133333</v>
      </c>
      <c r="P73" s="421">
        <f>P72*'Книга допущений'!$B189/12</f>
        <v>125.1280876424254</v>
      </c>
      <c r="Q73" s="421">
        <f>Q72*'Книга допущений'!$B189/12</f>
        <v>124.05098086351747</v>
      </c>
      <c r="R73" s="421">
        <f>R72*'Книга допущений'!$B189/12</f>
        <v>122.97387408460953</v>
      </c>
      <c r="S73" s="421">
        <f>S72*'Книга допущений'!$B189/12</f>
        <v>121.8967673057016</v>
      </c>
      <c r="T73" s="421">
        <f>T72*'Книга допущений'!$B189/12</f>
        <v>120.81966052679367</v>
      </c>
      <c r="U73" s="421">
        <f>U72*'Книга допущений'!$B189/12</f>
        <v>119.74255374788574</v>
      </c>
      <c r="V73" s="421">
        <f>V72*'Книга допущений'!$B189/12</f>
        <v>118.6654469689778</v>
      </c>
      <c r="W73" s="421">
        <f>W72*'Книга допущений'!$B189/12</f>
        <v>117.58834019006987</v>
      </c>
      <c r="X73" s="421">
        <f>X72*'Книга допущений'!$B189/12</f>
        <v>116.51123341116194</v>
      </c>
      <c r="Y73" s="421">
        <f>Y72*'Книга допущений'!$B189/12</f>
        <v>115.43412663225399</v>
      </c>
      <c r="Z73" s="421">
        <f>Z72*'Книга допущений'!$B189/12</f>
        <v>114.35701985334606</v>
      </c>
      <c r="AA73" s="421">
        <f>AA72*'Книга допущений'!$B189/12</f>
        <v>113.27991307443813</v>
      </c>
      <c r="AB73" s="421">
        <f>AB72*'Книга допущений'!$B189/12</f>
        <v>112.20280629553019</v>
      </c>
      <c r="AC73" s="421">
        <f>AC72*'Книга допущений'!$B189/12</f>
        <v>111.12569951662226</v>
      </c>
      <c r="AD73" s="421">
        <f>AD72*'Книга допущений'!$B189/12</f>
        <v>110.04859273771433</v>
      </c>
      <c r="AE73" s="421">
        <f>AE72*'Книга допущений'!$B189/12</f>
        <v>108.9714859588064</v>
      </c>
      <c r="AF73" s="421">
        <f>AF72*'Книга допущений'!$B189/12</f>
        <v>107.89437917989846</v>
      </c>
      <c r="AG73" s="421">
        <f>AG72*'Книга допущений'!$B189/12</f>
        <v>106.81727240099053</v>
      </c>
      <c r="AH73" s="421">
        <f>AH72*'Книга допущений'!$B189/12</f>
        <v>105.7401656220826</v>
      </c>
      <c r="AI73" s="421">
        <f>AI72*'Книга допущений'!$B189/12</f>
        <v>104.66305884317467</v>
      </c>
      <c r="AJ73" s="421">
        <f>AJ72*'Книга допущений'!$B189/12</f>
        <v>103.58595206426673</v>
      </c>
      <c r="AK73" s="421">
        <f>AK72*'Книга допущений'!$B189/12</f>
        <v>102.50884528535879</v>
      </c>
      <c r="AL73" s="421">
        <f>AL72*'Книга допущений'!$B189/12</f>
        <v>101.43173850645086</v>
      </c>
      <c r="AM73" s="421">
        <f>AM72*'Книга допущений'!$B189/12</f>
        <v>100.35463172754292</v>
      </c>
      <c r="AN73" s="421">
        <f>AN72*'Книга допущений'!$B189/12</f>
        <v>99.277524948634991</v>
      </c>
      <c r="AO73" s="421">
        <f>AO72*'Книга допущений'!$B189/12</f>
        <v>98.200418169727058</v>
      </c>
      <c r="AP73" s="421">
        <f>AP72*'Книга допущений'!$B189/12</f>
        <v>97.123311390819126</v>
      </c>
      <c r="AQ73" s="421">
        <f>AQ72*'Книга допущений'!$B189/12</f>
        <v>96.046204611911193</v>
      </c>
      <c r="AR73" s="421">
        <f>AR72*'Книга допущений'!$B189/12</f>
        <v>94.969097833003261</v>
      </c>
      <c r="AS73" s="421">
        <f>AS72*'Книга допущений'!$B189/12</f>
        <v>93.891991054095328</v>
      </c>
      <c r="AT73" s="421">
        <f>AT72*'Книга допущений'!$B189/12</f>
        <v>92.814884275187396</v>
      </c>
      <c r="AU73" s="421">
        <f>AU72*'Книга допущений'!$B189/12</f>
        <v>91.737777496279463</v>
      </c>
      <c r="AV73" s="421">
        <f>AV72*'Книга допущений'!$B189/12</f>
        <v>90.660670717371531</v>
      </c>
      <c r="AW73" s="421">
        <f>AW72*'Книга допущений'!$B189/12</f>
        <v>89.58356393846357</v>
      </c>
      <c r="AX73" s="421">
        <f>AX72*'Книга допущений'!$B189/12</f>
        <v>88.506457159555637</v>
      </c>
      <c r="AY73" s="421">
        <f>AY72*'Книга допущений'!$B189/12</f>
        <v>87.429350380647705</v>
      </c>
      <c r="AZ73" s="421">
        <f>AZ72*'Книга допущений'!$B189/12</f>
        <v>86.352243601739772</v>
      </c>
      <c r="BA73" s="421">
        <f>BA72*'Книга допущений'!$B189/12</f>
        <v>85.27513682283184</v>
      </c>
      <c r="BB73" s="421">
        <f>BB72*'Книга допущений'!$B189/12</f>
        <v>84.198030043923907</v>
      </c>
      <c r="BC73" s="421">
        <f>BC72*'Книга допущений'!$B189/12</f>
        <v>83.120923265015975</v>
      </c>
      <c r="BD73" s="421">
        <f>BD72*'Книга допущений'!$B189/12</f>
        <v>82.043816486108042</v>
      </c>
      <c r="BE73" s="421">
        <f>BE72*'Книга допущений'!$B189/12</f>
        <v>80.96670970720011</v>
      </c>
      <c r="BF73" s="421">
        <f>BF72*'Книга допущений'!$B189/12</f>
        <v>79.889602928292177</v>
      </c>
      <c r="BG73" s="421">
        <f>BG72*'Книга допущений'!$B189/12</f>
        <v>78.812496149384245</v>
      </c>
      <c r="BH73" s="421">
        <f>BH72*'Книга допущений'!$B189/12</f>
        <v>77.735389370476312</v>
      </c>
      <c r="BI73" s="421">
        <f>BI72*'Книга допущений'!$B189/12</f>
        <v>76.65828259156838</v>
      </c>
      <c r="BJ73" s="421">
        <f>BJ72*'Книга допущений'!$B189/12</f>
        <v>75.581175812660447</v>
      </c>
      <c r="BK73" s="421">
        <f>BK72*'Книга допущений'!$B189/12</f>
        <v>74.504069033752515</v>
      </c>
      <c r="BL73" s="421">
        <f>BL72*'Книга допущений'!$B189/12</f>
        <v>73.426962254844582</v>
      </c>
      <c r="BM73" s="421">
        <f>BM72*'Книга допущений'!$B189/12</f>
        <v>72.349855475936636</v>
      </c>
      <c r="BN73" s="421">
        <f>BN72*'Книга допущений'!$B189/12</f>
        <v>71.272748697028703</v>
      </c>
      <c r="BO73" s="421">
        <f>BO72*'Книга допущений'!$B189/12</f>
        <v>70.195641918120771</v>
      </c>
      <c r="BP73" s="421">
        <f>BP72*'Книга допущений'!$B189/12</f>
        <v>69.118535139212838</v>
      </c>
      <c r="BQ73" s="421">
        <f>BQ72*'Книга допущений'!$B189/12</f>
        <v>68.041428360304906</v>
      </c>
      <c r="BR73" s="421">
        <f>BR72*'Книга допущений'!$B189/12</f>
        <v>66.964321581396973</v>
      </c>
      <c r="BS73" s="421">
        <f>BS72*'Книга допущений'!$B189/12</f>
        <v>65.887214802489027</v>
      </c>
      <c r="BT73" s="421">
        <f>BT72*'Книга допущений'!$B189/12</f>
        <v>64.810108023581094</v>
      </c>
      <c r="BU73" s="421">
        <f>BU72*'Книга допущений'!$B189/12</f>
        <v>63.733001244673169</v>
      </c>
      <c r="BV73" s="421">
        <f>BV72*'Книга допущений'!$B189/12</f>
        <v>62.655894465765236</v>
      </c>
      <c r="BW73" s="421">
        <f>BW72*'Книга допущений'!$B189/12</f>
        <v>61.617676575746181</v>
      </c>
      <c r="BX73" s="421">
        <f>BX72*'Книга допущений'!$B189/12</f>
        <v>60.579458685727126</v>
      </c>
      <c r="BY73" s="421">
        <f>BY72*'Книга допущений'!$B189/12</f>
        <v>59.54124079570807</v>
      </c>
      <c r="BZ73" s="421">
        <f>BZ72*'Книга допущений'!$B189/12</f>
        <v>58.503022905689022</v>
      </c>
      <c r="CA73" s="421">
        <f>CA72*'Книга допущений'!$B189/12</f>
        <v>57.464805015669974</v>
      </c>
      <c r="CB73" s="421">
        <f>CB72*'Книга допущений'!$B189/12</f>
        <v>56.426587125650912</v>
      </c>
    </row>
  </sheetData>
  <mergeCells count="9">
    <mergeCell ref="D8:E8"/>
    <mergeCell ref="B8:B9"/>
    <mergeCell ref="A8:A9"/>
    <mergeCell ref="C8:C9"/>
    <mergeCell ref="C57:C58"/>
    <mergeCell ref="D57:D58"/>
    <mergeCell ref="E57:E58"/>
    <mergeCell ref="B57:B58"/>
    <mergeCell ref="A57:A58"/>
  </mergeCells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X30"/>
  <sheetViews>
    <sheetView showGridLines="0" topLeftCell="A7" workbookViewId="0">
      <selection activeCell="U30" sqref="U30"/>
    </sheetView>
  </sheetViews>
  <sheetFormatPr defaultColWidth="9.33203125" defaultRowHeight="13.2" x14ac:dyDescent="0.25"/>
  <cols>
    <col min="1" max="1" width="37.33203125" style="13" customWidth="1"/>
    <col min="2" max="2" width="12.44140625" style="3" customWidth="1"/>
    <col min="3" max="3" width="13.33203125" style="3" customWidth="1"/>
    <col min="4" max="42" width="12" style="13" customWidth="1"/>
    <col min="43" max="60" width="9.33203125" style="13"/>
    <col min="61" max="61" width="10.109375" style="13" customWidth="1"/>
    <col min="62" max="72" width="9.33203125" style="13"/>
    <col min="73" max="73" width="10.33203125" style="13" customWidth="1"/>
    <col min="74" max="16384" width="9.33203125" style="13"/>
  </cols>
  <sheetData>
    <row r="1" spans="1:76" s="376" customFormat="1" ht="28.5" customHeight="1" x14ac:dyDescent="0.3">
      <c r="A1" s="392" t="s">
        <v>163</v>
      </c>
      <c r="B1" s="389"/>
    </row>
    <row r="2" spans="1:76" s="376" customFormat="1" ht="19.5" customHeight="1" x14ac:dyDescent="0.25">
      <c r="A2" s="380" t="str">
        <f>'Календарный план'!B2</f>
        <v>Парк мобильных домов</v>
      </c>
      <c r="B2" s="390"/>
    </row>
    <row r="3" spans="1:76" s="376" customFormat="1" ht="15" customHeight="1" x14ac:dyDescent="0.25">
      <c r="A3" s="378"/>
      <c r="B3" s="379"/>
    </row>
    <row r="4" spans="1:76" s="32" customFormat="1" ht="15" customHeight="1" x14ac:dyDescent="0.25">
      <c r="A4" s="268"/>
      <c r="B4" s="269"/>
    </row>
    <row r="5" spans="1:76" x14ac:dyDescent="0.25">
      <c r="A5" s="16" t="s">
        <v>667</v>
      </c>
      <c r="K5" s="29"/>
    </row>
    <row r="6" spans="1:76" ht="15" customHeight="1" x14ac:dyDescent="0.25">
      <c r="A6" s="16"/>
      <c r="K6" s="29"/>
    </row>
    <row r="7" spans="1:76" ht="15" customHeight="1" x14ac:dyDescent="0.25">
      <c r="A7" s="16" t="s">
        <v>676</v>
      </c>
      <c r="K7" s="29"/>
    </row>
    <row r="8" spans="1:76" x14ac:dyDescent="0.25">
      <c r="A8" s="497"/>
      <c r="B8" s="185">
        <f>'Книга допущений'!B12</f>
        <v>2020</v>
      </c>
      <c r="C8" s="140">
        <f t="shared" ref="C8" si="0">IF(MONTH(C9)=1,B8+1,B8)</f>
        <v>2020</v>
      </c>
      <c r="D8" s="140">
        <f t="shared" ref="D8" si="1">IF(MONTH(D9)=1,C8+1,C8)</f>
        <v>2020</v>
      </c>
      <c r="E8" s="140">
        <f t="shared" ref="E8" si="2">IF(MONTH(E9)=1,D8+1,D8)</f>
        <v>2021</v>
      </c>
      <c r="F8" s="140">
        <f t="shared" ref="F8" si="3">IF(MONTH(F9)=1,E8+1,E8)</f>
        <v>2021</v>
      </c>
      <c r="G8" s="140">
        <f t="shared" ref="G8" si="4">IF(MONTH(G9)=1,F8+1,F8)</f>
        <v>2021</v>
      </c>
      <c r="H8" s="140">
        <f t="shared" ref="H8" si="5">IF(MONTH(H9)=1,G8+1,G8)</f>
        <v>2021</v>
      </c>
      <c r="I8" s="140">
        <f t="shared" ref="I8" si="6">IF(MONTH(I9)=1,H8+1,H8)</f>
        <v>2021</v>
      </c>
      <c r="J8" s="140">
        <f t="shared" ref="J8" si="7">IF(MONTH(J9)=1,I8+1,I8)</f>
        <v>2021</v>
      </c>
      <c r="K8" s="140">
        <f t="shared" ref="K8" si="8">IF(MONTH(K9)=1,J8+1,J8)</f>
        <v>2021</v>
      </c>
      <c r="L8" s="140">
        <f t="shared" ref="L8" si="9">IF(MONTH(L9)=1,K8+1,K8)</f>
        <v>2021</v>
      </c>
      <c r="M8" s="140">
        <f t="shared" ref="M8" si="10">IF(MONTH(M9)=1,L8+1,L8)</f>
        <v>2021</v>
      </c>
      <c r="N8" s="140">
        <f t="shared" ref="N8" si="11">IF(MONTH(N9)=1,M8+1,M8)</f>
        <v>2021</v>
      </c>
      <c r="O8" s="140">
        <f t="shared" ref="O8" si="12">IF(MONTH(O9)=1,N8+1,N8)</f>
        <v>2021</v>
      </c>
      <c r="P8" s="140">
        <f t="shared" ref="P8" si="13">IF(MONTH(P9)=1,O8+1,O8)</f>
        <v>2021</v>
      </c>
      <c r="Q8" s="140">
        <f t="shared" ref="Q8" si="14">IF(MONTH(Q9)=1,P8+1,P8)</f>
        <v>2022</v>
      </c>
      <c r="R8" s="140">
        <f t="shared" ref="R8" si="15">IF(MONTH(R9)=1,Q8+1,Q8)</f>
        <v>2022</v>
      </c>
      <c r="S8" s="140">
        <f t="shared" ref="S8" si="16">IF(MONTH(S9)=1,R8+1,R8)</f>
        <v>2022</v>
      </c>
      <c r="T8" s="140">
        <f t="shared" ref="T8" si="17">IF(MONTH(T9)=1,S8+1,S8)</f>
        <v>2022</v>
      </c>
      <c r="U8" s="140">
        <f t="shared" ref="U8" si="18">IF(MONTH(U9)=1,T8+1,T8)</f>
        <v>2022</v>
      </c>
      <c r="V8" s="140">
        <f t="shared" ref="V8" si="19">IF(MONTH(V9)=1,U8+1,U8)</f>
        <v>2022</v>
      </c>
      <c r="W8" s="140">
        <f t="shared" ref="W8" si="20">IF(MONTH(W9)=1,V8+1,V8)</f>
        <v>2022</v>
      </c>
      <c r="X8" s="140">
        <f t="shared" ref="X8" si="21">IF(MONTH(X9)=1,W8+1,W8)</f>
        <v>2022</v>
      </c>
      <c r="Y8" s="140">
        <f t="shared" ref="Y8" si="22">IF(MONTH(Y9)=1,X8+1,X8)</f>
        <v>2022</v>
      </c>
      <c r="Z8" s="140">
        <f t="shared" ref="Z8" si="23">IF(MONTH(Z9)=1,Y8+1,Y8)</f>
        <v>2022</v>
      </c>
      <c r="AA8" s="140">
        <f t="shared" ref="AA8" si="24">IF(MONTH(AA9)=1,Z8+1,Z8)</f>
        <v>2022</v>
      </c>
      <c r="AB8" s="140">
        <f t="shared" ref="AB8" si="25">IF(MONTH(AB9)=1,AA8+1,AA8)</f>
        <v>2022</v>
      </c>
      <c r="AC8" s="140">
        <f t="shared" ref="AC8" si="26">IF(MONTH(AC9)=1,AB8+1,AB8)</f>
        <v>2023</v>
      </c>
      <c r="AD8" s="140">
        <f t="shared" ref="AD8" si="27">IF(MONTH(AD9)=1,AC8+1,AC8)</f>
        <v>2023</v>
      </c>
      <c r="AE8" s="140">
        <f t="shared" ref="AE8" si="28">IF(MONTH(AE9)=1,AD8+1,AD8)</f>
        <v>2023</v>
      </c>
      <c r="AF8" s="140">
        <f t="shared" ref="AF8" si="29">IF(MONTH(AF9)=1,AE8+1,AE8)</f>
        <v>2023</v>
      </c>
      <c r="AG8" s="140">
        <f t="shared" ref="AG8" si="30">IF(MONTH(AG9)=1,AF8+1,AF8)</f>
        <v>2023</v>
      </c>
      <c r="AH8" s="140">
        <f t="shared" ref="AH8" si="31">IF(MONTH(AH9)=1,AG8+1,AG8)</f>
        <v>2023</v>
      </c>
      <c r="AI8" s="140">
        <f t="shared" ref="AI8" si="32">IF(MONTH(AI9)=1,AH8+1,AH8)</f>
        <v>2023</v>
      </c>
      <c r="AJ8" s="140">
        <f t="shared" ref="AJ8" si="33">IF(MONTH(AJ9)=1,AI8+1,AI8)</f>
        <v>2023</v>
      </c>
      <c r="AK8" s="140">
        <f t="shared" ref="AK8" si="34">IF(MONTH(AK9)=1,AJ8+1,AJ8)</f>
        <v>2023</v>
      </c>
      <c r="AL8" s="140">
        <f t="shared" ref="AL8" si="35">IF(MONTH(AL9)=1,AK8+1,AK8)</f>
        <v>2023</v>
      </c>
      <c r="AM8" s="140">
        <f t="shared" ref="AM8" si="36">IF(MONTH(AM9)=1,AL8+1,AL8)</f>
        <v>2023</v>
      </c>
      <c r="AN8" s="140">
        <f t="shared" ref="AN8" si="37">IF(MONTH(AN9)=1,AM8+1,AM8)</f>
        <v>2023</v>
      </c>
      <c r="AO8" s="140">
        <f t="shared" ref="AO8" si="38">IF(MONTH(AO9)=1,AN8+1,AN8)</f>
        <v>2024</v>
      </c>
      <c r="AP8" s="140">
        <f t="shared" ref="AP8" si="39">IF(MONTH(AP9)=1,AO8+1,AO8)</f>
        <v>2024</v>
      </c>
      <c r="AQ8" s="140">
        <f t="shared" ref="AQ8" si="40">IF(MONTH(AQ9)=1,AP8+1,AP8)</f>
        <v>2024</v>
      </c>
      <c r="AR8" s="140">
        <f t="shared" ref="AR8" si="41">IF(MONTH(AR9)=1,AQ8+1,AQ8)</f>
        <v>2024</v>
      </c>
      <c r="AS8" s="140">
        <f t="shared" ref="AS8" si="42">IF(MONTH(AS9)=1,AR8+1,AR8)</f>
        <v>2024</v>
      </c>
      <c r="AT8" s="140">
        <f t="shared" ref="AT8" si="43">IF(MONTH(AT9)=1,AS8+1,AS8)</f>
        <v>2024</v>
      </c>
      <c r="AU8" s="140">
        <f t="shared" ref="AU8" si="44">IF(MONTH(AU9)=1,AT8+1,AT8)</f>
        <v>2024</v>
      </c>
      <c r="AV8" s="140">
        <f t="shared" ref="AV8" si="45">IF(MONTH(AV9)=1,AU8+1,AU8)</f>
        <v>2024</v>
      </c>
      <c r="AW8" s="140">
        <f t="shared" ref="AW8" si="46">IF(MONTH(AW9)=1,AV8+1,AV8)</f>
        <v>2024</v>
      </c>
      <c r="AX8" s="140">
        <f t="shared" ref="AX8" si="47">IF(MONTH(AX9)=1,AW8+1,AW8)</f>
        <v>2024</v>
      </c>
      <c r="AY8" s="140">
        <f t="shared" ref="AY8" si="48">IF(MONTH(AY9)=1,AX8+1,AX8)</f>
        <v>2024</v>
      </c>
      <c r="AZ8" s="140">
        <f t="shared" ref="AZ8" si="49">IF(MONTH(AZ9)=1,AY8+1,AY8)</f>
        <v>2024</v>
      </c>
      <c r="BA8" s="140">
        <f t="shared" ref="BA8" si="50">IF(MONTH(BA9)=1,AZ8+1,AZ8)</f>
        <v>2025</v>
      </c>
      <c r="BB8" s="140">
        <f t="shared" ref="BB8" si="51">IF(MONTH(BB9)=1,BA8+1,BA8)</f>
        <v>2025</v>
      </c>
      <c r="BC8" s="140">
        <f t="shared" ref="BC8" si="52">IF(MONTH(BC9)=1,BB8+1,BB8)</f>
        <v>2025</v>
      </c>
      <c r="BD8" s="140">
        <f t="shared" ref="BD8" si="53">IF(MONTH(BD9)=1,BC8+1,BC8)</f>
        <v>2025</v>
      </c>
      <c r="BE8" s="140">
        <f t="shared" ref="BE8" si="54">IF(MONTH(BE9)=1,BD8+1,BD8)</f>
        <v>2025</v>
      </c>
      <c r="BF8" s="140">
        <f t="shared" ref="BF8" si="55">IF(MONTH(BF9)=1,BE8+1,BE8)</f>
        <v>2025</v>
      </c>
      <c r="BG8" s="140">
        <f t="shared" ref="BG8" si="56">IF(MONTH(BG9)=1,BF8+1,BF8)</f>
        <v>2025</v>
      </c>
      <c r="BH8" s="140">
        <f t="shared" ref="BH8" si="57">IF(MONTH(BH9)=1,BG8+1,BG8)</f>
        <v>2025</v>
      </c>
      <c r="BI8" s="140">
        <f t="shared" ref="BI8" si="58">IF(MONTH(BI9)=1,BH8+1,BH8)</f>
        <v>2025</v>
      </c>
      <c r="BJ8" s="140">
        <f t="shared" ref="BJ8" si="59">IF(MONTH(BJ9)=1,BI8+1,BI8)</f>
        <v>2025</v>
      </c>
      <c r="BK8" s="140">
        <f t="shared" ref="BK8" si="60">IF(MONTH(BK9)=1,BJ8+1,BJ8)</f>
        <v>2025</v>
      </c>
      <c r="BL8" s="140">
        <f t="shared" ref="BL8" si="61">IF(MONTH(BL9)=1,BK8+1,BK8)</f>
        <v>2025</v>
      </c>
      <c r="BM8" s="140">
        <f t="shared" ref="BM8" si="62">IF(MONTH(BM9)=1,BL8+1,BL8)</f>
        <v>2026</v>
      </c>
      <c r="BN8" s="140">
        <f t="shared" ref="BN8" si="63">IF(MONTH(BN9)=1,BM8+1,BM8)</f>
        <v>2026</v>
      </c>
      <c r="BO8" s="140">
        <f t="shared" ref="BO8" si="64">IF(MONTH(BO9)=1,BN8+1,BN8)</f>
        <v>2026</v>
      </c>
      <c r="BP8" s="140">
        <f t="shared" ref="BP8" si="65">IF(MONTH(BP9)=1,BO8+1,BO8)</f>
        <v>2026</v>
      </c>
      <c r="BQ8" s="140">
        <f t="shared" ref="BQ8" si="66">IF(MONTH(BQ9)=1,BP8+1,BP8)</f>
        <v>2026</v>
      </c>
      <c r="BR8" s="140">
        <f t="shared" ref="BR8" si="67">IF(MONTH(BR9)=1,BQ8+1,BQ8)</f>
        <v>2026</v>
      </c>
      <c r="BS8" s="140">
        <f t="shared" ref="BS8" si="68">IF(MONTH(BS9)=1,BR8+1,BR8)</f>
        <v>2026</v>
      </c>
      <c r="BT8" s="140">
        <f t="shared" ref="BT8" si="69">IF(MONTH(BT9)=1,BS8+1,BS8)</f>
        <v>2026</v>
      </c>
      <c r="BU8" s="140">
        <f t="shared" ref="BU8" si="70">IF(MONTH(BU9)=1,BT8+1,BT8)</f>
        <v>2026</v>
      </c>
      <c r="BV8" s="140">
        <f t="shared" ref="BV8" si="71">IF(MONTH(BV9)=1,BU8+1,BU8)</f>
        <v>2026</v>
      </c>
      <c r="BW8" s="140">
        <f t="shared" ref="BW8" si="72">IF(MONTH(BW9)=1,BV8+1,BV8)</f>
        <v>2026</v>
      </c>
      <c r="BX8" s="140">
        <f t="shared" ref="BX8" si="73">IF(MONTH(BX9)=1,BW8+1,BW8)</f>
        <v>2026</v>
      </c>
    </row>
    <row r="9" spans="1:76" x14ac:dyDescent="0.25">
      <c r="A9" s="498"/>
      <c r="B9" s="396">
        <f>'Книга допущений'!B11</f>
        <v>44106</v>
      </c>
      <c r="C9" s="367">
        <f>EDATE(B9,ROW(A1))</f>
        <v>44137</v>
      </c>
      <c r="D9" s="367">
        <f t="shared" ref="D9:G9" si="74">EDATE(C9,ROW(B1))</f>
        <v>44167</v>
      </c>
      <c r="E9" s="367">
        <f t="shared" si="74"/>
        <v>44198</v>
      </c>
      <c r="F9" s="367">
        <f t="shared" si="74"/>
        <v>44229</v>
      </c>
      <c r="G9" s="367">
        <f t="shared" si="74"/>
        <v>44257</v>
      </c>
      <c r="H9" s="367">
        <f t="shared" ref="H9" si="75">EDATE(G9,ROW(F1))</f>
        <v>44288</v>
      </c>
      <c r="I9" s="367">
        <f t="shared" ref="I9" si="76">EDATE(H9,ROW(G1))</f>
        <v>44318</v>
      </c>
      <c r="J9" s="367">
        <f t="shared" ref="J9:K9" si="77">EDATE(I9,ROW(H1))</f>
        <v>44349</v>
      </c>
      <c r="K9" s="367">
        <f t="shared" si="77"/>
        <v>44379</v>
      </c>
      <c r="L9" s="367">
        <f t="shared" ref="L9" si="78">EDATE(K9,ROW(J1))</f>
        <v>44410</v>
      </c>
      <c r="M9" s="367">
        <f t="shared" ref="M9" si="79">EDATE(L9,ROW(K1))</f>
        <v>44441</v>
      </c>
      <c r="N9" s="367">
        <f t="shared" ref="N9:O9" si="80">EDATE(M9,ROW(L1))</f>
        <v>44471</v>
      </c>
      <c r="O9" s="367">
        <f t="shared" si="80"/>
        <v>44502</v>
      </c>
      <c r="P9" s="367">
        <f t="shared" ref="P9" si="81">EDATE(O9,ROW(N1))</f>
        <v>44532</v>
      </c>
      <c r="Q9" s="367">
        <f t="shared" ref="Q9" si="82">EDATE(P9,ROW(O1))</f>
        <v>44563</v>
      </c>
      <c r="R9" s="367">
        <f t="shared" ref="R9:S9" si="83">EDATE(Q9,ROW(P1))</f>
        <v>44594</v>
      </c>
      <c r="S9" s="367">
        <f t="shared" si="83"/>
        <v>44622</v>
      </c>
      <c r="T9" s="367">
        <f t="shared" ref="T9" si="84">EDATE(S9,ROW(R1))</f>
        <v>44653</v>
      </c>
      <c r="U9" s="367">
        <f t="shared" ref="U9" si="85">EDATE(T9,ROW(S1))</f>
        <v>44683</v>
      </c>
      <c r="V9" s="367">
        <f t="shared" ref="V9:W9" si="86">EDATE(U9,ROW(T1))</f>
        <v>44714</v>
      </c>
      <c r="W9" s="367">
        <f t="shared" si="86"/>
        <v>44744</v>
      </c>
      <c r="X9" s="367">
        <f t="shared" ref="X9" si="87">EDATE(W9,ROW(V1))</f>
        <v>44775</v>
      </c>
      <c r="Y9" s="367">
        <f t="shared" ref="Y9" si="88">EDATE(X9,ROW(W1))</f>
        <v>44806</v>
      </c>
      <c r="Z9" s="367">
        <f t="shared" ref="Z9:AA9" si="89">EDATE(Y9,ROW(X1))</f>
        <v>44836</v>
      </c>
      <c r="AA9" s="367">
        <f t="shared" si="89"/>
        <v>44867</v>
      </c>
      <c r="AB9" s="367">
        <f t="shared" ref="AB9" si="90">EDATE(AA9,ROW(Z1))</f>
        <v>44897</v>
      </c>
      <c r="AC9" s="367">
        <f t="shared" ref="AC9" si="91">EDATE(AB9,ROW(AA1))</f>
        <v>44928</v>
      </c>
      <c r="AD9" s="367">
        <f t="shared" ref="AD9:AE9" si="92">EDATE(AC9,ROW(AB1))</f>
        <v>44959</v>
      </c>
      <c r="AE9" s="367">
        <f t="shared" si="92"/>
        <v>44987</v>
      </c>
      <c r="AF9" s="367">
        <f t="shared" ref="AF9" si="93">EDATE(AE9,ROW(AD1))</f>
        <v>45018</v>
      </c>
      <c r="AG9" s="367">
        <f t="shared" ref="AG9" si="94">EDATE(AF9,ROW(AE1))</f>
        <v>45048</v>
      </c>
      <c r="AH9" s="367">
        <f t="shared" ref="AH9:AI9" si="95">EDATE(AG9,ROW(AF1))</f>
        <v>45079</v>
      </c>
      <c r="AI9" s="367">
        <f t="shared" si="95"/>
        <v>45109</v>
      </c>
      <c r="AJ9" s="367">
        <f t="shared" ref="AJ9" si="96">EDATE(AI9,ROW(AH1))</f>
        <v>45140</v>
      </c>
      <c r="AK9" s="367">
        <f t="shared" ref="AK9" si="97">EDATE(AJ9,ROW(AI1))</f>
        <v>45171</v>
      </c>
      <c r="AL9" s="367">
        <f t="shared" ref="AL9:AM9" si="98">EDATE(AK9,ROW(AJ1))</f>
        <v>45201</v>
      </c>
      <c r="AM9" s="367">
        <f t="shared" si="98"/>
        <v>45232</v>
      </c>
      <c r="AN9" s="367">
        <f t="shared" ref="AN9" si="99">EDATE(AM9,ROW(AL1))</f>
        <v>45262</v>
      </c>
      <c r="AO9" s="367">
        <f t="shared" ref="AO9" si="100">EDATE(AN9,ROW(AM1))</f>
        <v>45293</v>
      </c>
      <c r="AP9" s="367">
        <f t="shared" ref="AP9:AQ9" si="101">EDATE(AO9,ROW(AN1))</f>
        <v>45324</v>
      </c>
      <c r="AQ9" s="367">
        <f t="shared" si="101"/>
        <v>45353</v>
      </c>
      <c r="AR9" s="367">
        <f t="shared" ref="AR9" si="102">EDATE(AQ9,ROW(AP1))</f>
        <v>45384</v>
      </c>
      <c r="AS9" s="367">
        <f t="shared" ref="AS9" si="103">EDATE(AR9,ROW(AQ1))</f>
        <v>45414</v>
      </c>
      <c r="AT9" s="367">
        <f t="shared" ref="AT9:AU9" si="104">EDATE(AS9,ROW(AR1))</f>
        <v>45445</v>
      </c>
      <c r="AU9" s="367">
        <f t="shared" si="104"/>
        <v>45475</v>
      </c>
      <c r="AV9" s="367">
        <f t="shared" ref="AV9" si="105">EDATE(AU9,ROW(AT1))</f>
        <v>45506</v>
      </c>
      <c r="AW9" s="367">
        <f t="shared" ref="AW9" si="106">EDATE(AV9,ROW(AU1))</f>
        <v>45537</v>
      </c>
      <c r="AX9" s="367">
        <f t="shared" ref="AX9:AY9" si="107">EDATE(AW9,ROW(AV1))</f>
        <v>45567</v>
      </c>
      <c r="AY9" s="367">
        <f t="shared" si="107"/>
        <v>45598</v>
      </c>
      <c r="AZ9" s="367">
        <f t="shared" ref="AZ9" si="108">EDATE(AY9,ROW(AX1))</f>
        <v>45628</v>
      </c>
      <c r="BA9" s="367">
        <f t="shared" ref="BA9" si="109">EDATE(AZ9,ROW(AY1))</f>
        <v>45659</v>
      </c>
      <c r="BB9" s="367">
        <f t="shared" ref="BB9:BC9" si="110">EDATE(BA9,ROW(AZ1))</f>
        <v>45690</v>
      </c>
      <c r="BC9" s="367">
        <f t="shared" si="110"/>
        <v>45718</v>
      </c>
      <c r="BD9" s="367">
        <f t="shared" ref="BD9" si="111">EDATE(BC9,ROW(BB1))</f>
        <v>45749</v>
      </c>
      <c r="BE9" s="367">
        <f t="shared" ref="BE9" si="112">EDATE(BD9,ROW(BC1))</f>
        <v>45779</v>
      </c>
      <c r="BF9" s="367">
        <f t="shared" ref="BF9:BG9" si="113">EDATE(BE9,ROW(BD1))</f>
        <v>45810</v>
      </c>
      <c r="BG9" s="367">
        <f t="shared" si="113"/>
        <v>45840</v>
      </c>
      <c r="BH9" s="367">
        <f t="shared" ref="BH9" si="114">EDATE(BG9,ROW(BF1))</f>
        <v>45871</v>
      </c>
      <c r="BI9" s="367">
        <f t="shared" ref="BI9" si="115">EDATE(BH9,ROW(BG1))</f>
        <v>45902</v>
      </c>
      <c r="BJ9" s="367">
        <f t="shared" ref="BJ9:BK9" si="116">EDATE(BI9,ROW(BH1))</f>
        <v>45932</v>
      </c>
      <c r="BK9" s="367">
        <f t="shared" si="116"/>
        <v>45963</v>
      </c>
      <c r="BL9" s="367">
        <f t="shared" ref="BL9" si="117">EDATE(BK9,ROW(BJ1))</f>
        <v>45993</v>
      </c>
      <c r="BM9" s="367">
        <f t="shared" ref="BM9" si="118">EDATE(BL9,ROW(BK1))</f>
        <v>46024</v>
      </c>
      <c r="BN9" s="367">
        <f t="shared" ref="BN9:BO9" si="119">EDATE(BM9,ROW(BL1))</f>
        <v>46055</v>
      </c>
      <c r="BO9" s="367">
        <f t="shared" si="119"/>
        <v>46083</v>
      </c>
      <c r="BP9" s="367">
        <f t="shared" ref="BP9" si="120">EDATE(BO9,ROW(BN1))</f>
        <v>46114</v>
      </c>
      <c r="BQ9" s="367">
        <f t="shared" ref="BQ9" si="121">EDATE(BP9,ROW(BO1))</f>
        <v>46144</v>
      </c>
      <c r="BR9" s="367">
        <f t="shared" ref="BR9:BS9" si="122">EDATE(BQ9,ROW(BP1))</f>
        <v>46175</v>
      </c>
      <c r="BS9" s="367">
        <f t="shared" si="122"/>
        <v>46205</v>
      </c>
      <c r="BT9" s="367">
        <f t="shared" ref="BT9" si="123">EDATE(BS9,ROW(BR1))</f>
        <v>46236</v>
      </c>
      <c r="BU9" s="367">
        <f t="shared" ref="BU9" si="124">EDATE(BT9,ROW(BS1))</f>
        <v>46267</v>
      </c>
      <c r="BV9" s="367">
        <f t="shared" ref="BV9:BW9" si="125">EDATE(BU9,ROW(BT1))</f>
        <v>46297</v>
      </c>
      <c r="BW9" s="367">
        <f t="shared" si="125"/>
        <v>46328</v>
      </c>
      <c r="BX9" s="367">
        <f t="shared" ref="BX9" si="126">EDATE(BW9,ROW(BV1))</f>
        <v>46358</v>
      </c>
    </row>
    <row r="10" spans="1:76" x14ac:dyDescent="0.25">
      <c r="A10" s="447"/>
      <c r="B10" s="448">
        <v>0</v>
      </c>
      <c r="C10" s="448">
        <v>1</v>
      </c>
      <c r="D10" s="448">
        <v>2</v>
      </c>
      <c r="E10" s="448">
        <v>3</v>
      </c>
      <c r="F10" s="448">
        <v>4</v>
      </c>
      <c r="G10" s="448">
        <v>5</v>
      </c>
      <c r="H10" s="448">
        <v>6</v>
      </c>
      <c r="I10" s="448">
        <v>7</v>
      </c>
      <c r="J10" s="448">
        <v>8</v>
      </c>
      <c r="K10" s="448">
        <v>9</v>
      </c>
      <c r="L10" s="448">
        <v>10</v>
      </c>
      <c r="M10" s="448">
        <v>11</v>
      </c>
      <c r="N10" s="448">
        <v>12</v>
      </c>
      <c r="O10" s="448">
        <v>13</v>
      </c>
      <c r="P10" s="448">
        <v>14</v>
      </c>
      <c r="Q10" s="448">
        <v>15</v>
      </c>
      <c r="R10" s="448">
        <v>16</v>
      </c>
      <c r="S10" s="448">
        <v>17</v>
      </c>
      <c r="T10" s="448">
        <v>18</v>
      </c>
      <c r="U10" s="448">
        <v>19</v>
      </c>
      <c r="V10" s="448">
        <v>20</v>
      </c>
      <c r="W10" s="448">
        <v>21</v>
      </c>
      <c r="X10" s="448">
        <v>22</v>
      </c>
      <c r="Y10" s="448">
        <v>23</v>
      </c>
      <c r="Z10" s="448">
        <v>24</v>
      </c>
      <c r="AA10" s="448">
        <v>25</v>
      </c>
      <c r="AB10" s="448">
        <v>26</v>
      </c>
      <c r="AC10" s="448">
        <v>27</v>
      </c>
      <c r="AD10" s="448">
        <v>28</v>
      </c>
      <c r="AE10" s="448">
        <v>29</v>
      </c>
      <c r="AF10" s="448">
        <v>30</v>
      </c>
      <c r="AG10" s="448">
        <v>31</v>
      </c>
      <c r="AH10" s="448">
        <v>32</v>
      </c>
      <c r="AI10" s="448">
        <v>33</v>
      </c>
      <c r="AJ10" s="448">
        <v>34</v>
      </c>
      <c r="AK10" s="448">
        <v>35</v>
      </c>
      <c r="AL10" s="448">
        <v>36</v>
      </c>
      <c r="AM10" s="448">
        <v>37</v>
      </c>
      <c r="AN10" s="448">
        <v>38</v>
      </c>
      <c r="AO10" s="448">
        <v>39</v>
      </c>
      <c r="AP10" s="448">
        <v>40</v>
      </c>
      <c r="AQ10" s="448">
        <v>41</v>
      </c>
      <c r="AR10" s="448">
        <v>42</v>
      </c>
      <c r="AS10" s="448">
        <v>43</v>
      </c>
      <c r="AT10" s="448">
        <v>44</v>
      </c>
      <c r="AU10" s="448">
        <v>45</v>
      </c>
      <c r="AV10" s="448">
        <v>46</v>
      </c>
      <c r="AW10" s="448">
        <v>47</v>
      </c>
      <c r="AX10" s="448">
        <v>48</v>
      </c>
      <c r="AY10" s="448">
        <v>49</v>
      </c>
      <c r="AZ10" s="448">
        <v>50</v>
      </c>
      <c r="BA10" s="448">
        <v>51</v>
      </c>
      <c r="BB10" s="448">
        <v>52</v>
      </c>
      <c r="BC10" s="448">
        <v>53</v>
      </c>
      <c r="BD10" s="448">
        <v>54</v>
      </c>
      <c r="BE10" s="448">
        <v>55</v>
      </c>
      <c r="BF10" s="448">
        <v>56</v>
      </c>
      <c r="BG10" s="448">
        <v>57</v>
      </c>
      <c r="BH10" s="448">
        <v>58</v>
      </c>
      <c r="BI10" s="448">
        <v>59</v>
      </c>
      <c r="BJ10" s="448">
        <v>60</v>
      </c>
      <c r="BK10" s="448">
        <v>61</v>
      </c>
      <c r="BL10" s="448">
        <v>62</v>
      </c>
      <c r="BM10" s="448">
        <v>63</v>
      </c>
      <c r="BN10" s="448">
        <v>64</v>
      </c>
      <c r="BO10" s="448">
        <v>65</v>
      </c>
      <c r="BP10" s="448">
        <v>66</v>
      </c>
      <c r="BQ10" s="448">
        <v>67</v>
      </c>
      <c r="BR10" s="448">
        <v>68</v>
      </c>
      <c r="BS10" s="448">
        <v>69</v>
      </c>
      <c r="BT10" s="448">
        <v>70</v>
      </c>
      <c r="BU10" s="448">
        <v>71</v>
      </c>
      <c r="BV10" s="448">
        <v>72</v>
      </c>
      <c r="BW10" s="448">
        <v>73</v>
      </c>
      <c r="BX10" s="448">
        <v>74</v>
      </c>
    </row>
    <row r="11" spans="1:76" s="30" customFormat="1" x14ac:dyDescent="0.25">
      <c r="A11" s="129" t="s">
        <v>668</v>
      </c>
      <c r="B11" s="114">
        <f>'Книга допущений'!B104</f>
        <v>0</v>
      </c>
      <c r="C11" s="114">
        <v>0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0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114">
        <v>0</v>
      </c>
      <c r="Z11" s="114">
        <v>0</v>
      </c>
      <c r="AA11" s="114">
        <v>0</v>
      </c>
      <c r="AB11" s="114">
        <v>0</v>
      </c>
      <c r="AC11" s="114">
        <v>0</v>
      </c>
      <c r="AD11" s="114">
        <v>0</v>
      </c>
      <c r="AE11" s="114">
        <v>0</v>
      </c>
      <c r="AF11" s="114">
        <v>0</v>
      </c>
      <c r="AG11" s="114">
        <v>0</v>
      </c>
      <c r="AH11" s="114">
        <v>0</v>
      </c>
      <c r="AI11" s="114">
        <v>0</v>
      </c>
      <c r="AJ11" s="114">
        <v>0</v>
      </c>
      <c r="AK11" s="114">
        <v>0</v>
      </c>
      <c r="AL11" s="114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4">
        <v>0</v>
      </c>
      <c r="AY11" s="114">
        <v>0</v>
      </c>
      <c r="AZ11" s="114">
        <v>0</v>
      </c>
      <c r="BA11" s="114">
        <v>0</v>
      </c>
      <c r="BB11" s="114">
        <v>0</v>
      </c>
      <c r="BC11" s="114">
        <v>0</v>
      </c>
      <c r="BD11" s="114">
        <v>0</v>
      </c>
      <c r="BE11" s="114">
        <v>0</v>
      </c>
      <c r="BF11" s="114">
        <v>0</v>
      </c>
      <c r="BG11" s="114">
        <v>0</v>
      </c>
      <c r="BH11" s="114">
        <v>0</v>
      </c>
      <c r="BI11" s="114">
        <v>0</v>
      </c>
      <c r="BJ11" s="114">
        <v>0</v>
      </c>
      <c r="BK11" s="114">
        <v>0</v>
      </c>
      <c r="BL11" s="114">
        <v>0</v>
      </c>
      <c r="BM11" s="114">
        <v>0</v>
      </c>
      <c r="BN11" s="114">
        <v>0</v>
      </c>
      <c r="BO11" s="114">
        <v>0</v>
      </c>
      <c r="BP11" s="114">
        <v>0</v>
      </c>
      <c r="BQ11" s="114">
        <v>0</v>
      </c>
      <c r="BR11" s="114">
        <v>0</v>
      </c>
      <c r="BS11" s="114">
        <v>0</v>
      </c>
      <c r="BT11" s="114">
        <v>0</v>
      </c>
      <c r="BU11" s="114">
        <v>0</v>
      </c>
      <c r="BV11" s="114">
        <v>0</v>
      </c>
      <c r="BW11" s="114">
        <v>0</v>
      </c>
      <c r="BX11" s="114">
        <v>0</v>
      </c>
    </row>
    <row r="12" spans="1:76" s="30" customFormat="1" x14ac:dyDescent="0.25">
      <c r="A12" s="129" t="s">
        <v>68</v>
      </c>
      <c r="B12" s="114">
        <f>B11</f>
        <v>0</v>
      </c>
      <c r="C12" s="114">
        <f>B12-C14+C11</f>
        <v>0</v>
      </c>
      <c r="D12" s="114">
        <f t="shared" ref="D12:O12" si="127">C12-D14+D11</f>
        <v>0</v>
      </c>
      <c r="E12" s="114">
        <f t="shared" si="127"/>
        <v>0</v>
      </c>
      <c r="F12" s="114">
        <f>E12-F14+F92</f>
        <v>0</v>
      </c>
      <c r="G12" s="114">
        <f t="shared" si="127"/>
        <v>0</v>
      </c>
      <c r="H12" s="114">
        <f t="shared" si="127"/>
        <v>0</v>
      </c>
      <c r="I12" s="114">
        <f t="shared" si="127"/>
        <v>0</v>
      </c>
      <c r="J12" s="114">
        <f t="shared" si="127"/>
        <v>0</v>
      </c>
      <c r="K12" s="114">
        <f t="shared" si="127"/>
        <v>0</v>
      </c>
      <c r="L12" s="114">
        <f t="shared" si="127"/>
        <v>0</v>
      </c>
      <c r="M12" s="114">
        <f t="shared" si="127"/>
        <v>0</v>
      </c>
      <c r="N12" s="114">
        <f t="shared" si="127"/>
        <v>0</v>
      </c>
      <c r="O12" s="114">
        <f t="shared" si="127"/>
        <v>0</v>
      </c>
      <c r="P12" s="114">
        <f t="shared" ref="P12" si="128">O12-P14+P11</f>
        <v>0</v>
      </c>
      <c r="Q12" s="114">
        <f t="shared" ref="Q12" si="129">P12-Q14+Q11</f>
        <v>0</v>
      </c>
      <c r="R12" s="114">
        <f t="shared" ref="R12" si="130">Q12-R14+R11</f>
        <v>0</v>
      </c>
      <c r="S12" s="114">
        <f t="shared" ref="S12" si="131">R12-S14+S11</f>
        <v>0</v>
      </c>
      <c r="T12" s="114">
        <f t="shared" ref="T12" si="132">S12-T14+T11</f>
        <v>0</v>
      </c>
      <c r="U12" s="114">
        <f t="shared" ref="U12" si="133">T12-U14+U11</f>
        <v>0</v>
      </c>
      <c r="V12" s="114">
        <f t="shared" ref="V12" si="134">U12-V14+V11</f>
        <v>0</v>
      </c>
      <c r="W12" s="114">
        <f t="shared" ref="W12" si="135">V12-W14+W11</f>
        <v>0</v>
      </c>
      <c r="X12" s="114">
        <f t="shared" ref="X12" si="136">W12-X14+X11</f>
        <v>0</v>
      </c>
      <c r="Y12" s="114">
        <f t="shared" ref="Y12" si="137">X12-Y14+Y11</f>
        <v>0</v>
      </c>
      <c r="Z12" s="114">
        <f t="shared" ref="Z12" si="138">Y12-Z14+Z11</f>
        <v>0</v>
      </c>
      <c r="AA12" s="114">
        <f t="shared" ref="AA12" si="139">Z12-AA14+AA11</f>
        <v>0</v>
      </c>
      <c r="AB12" s="114">
        <f t="shared" ref="AB12" si="140">AA12-AB14+AB11</f>
        <v>0</v>
      </c>
      <c r="AC12" s="114">
        <f t="shared" ref="AC12" si="141">AB12-AC14+AC11</f>
        <v>0</v>
      </c>
      <c r="AD12" s="114">
        <f t="shared" ref="AD12" si="142">AC12-AD14+AD11</f>
        <v>0</v>
      </c>
      <c r="AE12" s="114">
        <f t="shared" ref="AE12" si="143">AD12-AE14+AE11</f>
        <v>0</v>
      </c>
      <c r="AF12" s="114">
        <f t="shared" ref="AF12" si="144">AE12-AF14+AF11</f>
        <v>0</v>
      </c>
      <c r="AG12" s="114">
        <f t="shared" ref="AG12" si="145">AF12-AG14+AG11</f>
        <v>0</v>
      </c>
      <c r="AH12" s="114">
        <f t="shared" ref="AH12" si="146">AG12-AH14+AH11</f>
        <v>0</v>
      </c>
      <c r="AI12" s="114">
        <f t="shared" ref="AI12" si="147">AH12-AI14+AI11</f>
        <v>0</v>
      </c>
      <c r="AJ12" s="114">
        <f t="shared" ref="AJ12" si="148">AI12-AJ14+AJ11</f>
        <v>0</v>
      </c>
      <c r="AK12" s="114">
        <f t="shared" ref="AK12" si="149">AJ12-AK14+AK11</f>
        <v>0</v>
      </c>
      <c r="AL12" s="114">
        <f t="shared" ref="AL12" si="150">AK12-AL14+AL11</f>
        <v>0</v>
      </c>
      <c r="AM12" s="114">
        <f t="shared" ref="AM12" si="151">AL12-AM14+AM11</f>
        <v>0</v>
      </c>
      <c r="AN12" s="114">
        <f t="shared" ref="AN12" si="152">AM12-AN14+AN11</f>
        <v>0</v>
      </c>
      <c r="AO12" s="114">
        <f t="shared" ref="AO12" si="153">AN12-AO14+AO11</f>
        <v>0</v>
      </c>
      <c r="AP12" s="114">
        <f t="shared" ref="AP12" si="154">AO12-AP14+AP11</f>
        <v>0</v>
      </c>
      <c r="AQ12" s="114">
        <f t="shared" ref="AQ12" si="155">AP12-AQ14+AQ11</f>
        <v>0</v>
      </c>
      <c r="AR12" s="114">
        <f t="shared" ref="AR12" si="156">AQ12-AR14+AR11</f>
        <v>0</v>
      </c>
      <c r="AS12" s="114">
        <f t="shared" ref="AS12" si="157">AR12-AS14+AS11</f>
        <v>0</v>
      </c>
      <c r="AT12" s="114">
        <f t="shared" ref="AT12" si="158">AS12-AT14+AT11</f>
        <v>0</v>
      </c>
      <c r="AU12" s="114">
        <f t="shared" ref="AU12" si="159">AT12-AU14+AU11</f>
        <v>0</v>
      </c>
      <c r="AV12" s="114">
        <f t="shared" ref="AV12" si="160">AU12-AV14+AV11</f>
        <v>0</v>
      </c>
      <c r="AW12" s="114">
        <f t="shared" ref="AW12" si="161">AV12-AW14+AW11</f>
        <v>0</v>
      </c>
      <c r="AX12" s="114">
        <f t="shared" ref="AX12" si="162">AW12-AX14+AX11</f>
        <v>0</v>
      </c>
      <c r="AY12" s="114">
        <f t="shared" ref="AY12" si="163">AX12-AY14+AY11</f>
        <v>0</v>
      </c>
      <c r="AZ12" s="114">
        <f t="shared" ref="AZ12" si="164">AY12-AZ14+AZ11</f>
        <v>0</v>
      </c>
      <c r="BA12" s="114">
        <f t="shared" ref="BA12" si="165">AZ12-BA14+BA11</f>
        <v>0</v>
      </c>
      <c r="BB12" s="114">
        <f t="shared" ref="BB12" si="166">BA12-BB14+BB11</f>
        <v>0</v>
      </c>
      <c r="BC12" s="114">
        <f t="shared" ref="BC12" si="167">BB12-BC14+BC11</f>
        <v>0</v>
      </c>
      <c r="BD12" s="114">
        <f t="shared" ref="BD12" si="168">BC12-BD14+BD11</f>
        <v>0</v>
      </c>
      <c r="BE12" s="114">
        <f t="shared" ref="BE12" si="169">BD12-BE14+BE11</f>
        <v>0</v>
      </c>
      <c r="BF12" s="114">
        <f t="shared" ref="BF12" si="170">BE12-BF14+BF11</f>
        <v>0</v>
      </c>
      <c r="BG12" s="114">
        <f t="shared" ref="BG12" si="171">BF12-BG14+BG11</f>
        <v>0</v>
      </c>
      <c r="BH12" s="114">
        <f t="shared" ref="BH12" si="172">BG12-BH14+BH11</f>
        <v>0</v>
      </c>
      <c r="BI12" s="114">
        <f t="shared" ref="BI12" si="173">BH12-BI14+BI11</f>
        <v>0</v>
      </c>
      <c r="BJ12" s="114">
        <f t="shared" ref="BJ12" si="174">BI12-BJ14+BJ11</f>
        <v>0</v>
      </c>
      <c r="BK12" s="114">
        <f t="shared" ref="BK12" si="175">BJ12-BK14+BK11</f>
        <v>0</v>
      </c>
      <c r="BL12" s="114">
        <f t="shared" ref="BL12" si="176">BK12-BL14+BL11</f>
        <v>0</v>
      </c>
      <c r="BM12" s="114">
        <f t="shared" ref="BM12" si="177">BL12-BM14+BM11</f>
        <v>0</v>
      </c>
      <c r="BN12" s="114">
        <f t="shared" ref="BN12" si="178">BM12-BN14+BN11</f>
        <v>0</v>
      </c>
      <c r="BO12" s="114">
        <f t="shared" ref="BO12" si="179">BN12-BO14+BO11</f>
        <v>0</v>
      </c>
      <c r="BP12" s="114">
        <f t="shared" ref="BP12" si="180">BO12-BP14+BP11</f>
        <v>0</v>
      </c>
      <c r="BQ12" s="114">
        <f t="shared" ref="BQ12" si="181">BP12-BQ14+BQ11</f>
        <v>0</v>
      </c>
      <c r="BR12" s="114">
        <f t="shared" ref="BR12" si="182">BQ12-BR14+BR11</f>
        <v>0</v>
      </c>
      <c r="BS12" s="114">
        <f t="shared" ref="BS12" si="183">BR12-BS14+BS11</f>
        <v>0</v>
      </c>
      <c r="BT12" s="114">
        <f t="shared" ref="BT12" si="184">BS12-BT14+BT11</f>
        <v>0</v>
      </c>
      <c r="BU12" s="114">
        <f t="shared" ref="BU12" si="185">BT12-BU14+BU11</f>
        <v>0</v>
      </c>
      <c r="BV12" s="114">
        <f t="shared" ref="BV12" si="186">BU12-BV14+BV11</f>
        <v>0</v>
      </c>
      <c r="BW12" s="114">
        <f t="shared" ref="BW12" si="187">BV12-BW14+BW11</f>
        <v>0</v>
      </c>
      <c r="BX12" s="114">
        <f t="shared" ref="BX12" si="188">BW12-BX14+BX11</f>
        <v>0</v>
      </c>
    </row>
    <row r="13" spans="1:76" x14ac:dyDescent="0.25">
      <c r="A13" s="129" t="s">
        <v>669</v>
      </c>
      <c r="B13" s="151">
        <v>0</v>
      </c>
      <c r="C13" s="151">
        <f>IF(C10&gt;'Книга допущений'!$B108,B12*('Книга допущений'!$B$105/12),0)</f>
        <v>0</v>
      </c>
      <c r="D13" s="151">
        <f>IF(D10&gt;'Книга допущений'!$B108,C12*('Книга допущений'!$B$105/12),0)</f>
        <v>0</v>
      </c>
      <c r="E13" s="151">
        <f>IF(E10&gt;'Книга допущений'!$B108,D12*('Книга допущений'!$B$105/12),0)</f>
        <v>0</v>
      </c>
      <c r="F13" s="151">
        <f>IF(F10&gt;'Книга допущений'!$B108,E12*('Книга допущений'!$B$105/12),0)</f>
        <v>0</v>
      </c>
      <c r="G13" s="151">
        <f>IF(G10&gt;'Книга допущений'!$B108,F12*('Книга допущений'!$B$105/12),0)</f>
        <v>0</v>
      </c>
      <c r="H13" s="151">
        <f>IF(H10&gt;'Книга допущений'!$B108,G12*('Книга допущений'!$B$105/12),0)</f>
        <v>0</v>
      </c>
      <c r="I13" s="151">
        <f>IF(I10&gt;'Книга допущений'!$B108,H12*('Книга допущений'!$B$105/12),0)</f>
        <v>0</v>
      </c>
      <c r="J13" s="151">
        <f>IF(J10&gt;'Книга допущений'!$B108,I12*('Книга допущений'!$B$105/12),0)</f>
        <v>0</v>
      </c>
      <c r="K13" s="151">
        <f>IF(K10&gt;'Книга допущений'!$B108,J12*('Книга допущений'!$B$105/12),0)</f>
        <v>0</v>
      </c>
      <c r="L13" s="151">
        <f>IF(L10&gt;'Книга допущений'!$B108,K12*('Книга допущений'!$B$105/12),0)</f>
        <v>0</v>
      </c>
      <c r="M13" s="151">
        <f>IF(M10&gt;'Книга допущений'!$B108,L12*('Книга допущений'!$B$105/12),0)</f>
        <v>0</v>
      </c>
      <c r="N13" s="151">
        <f>IF(N10&gt;'Книга допущений'!$B108,M12*('Книга допущений'!$B$105/12),0)</f>
        <v>0</v>
      </c>
      <c r="O13" s="151">
        <f>IF(O10&gt;'Книга допущений'!$B108,N12*('Книга допущений'!$B$105/12),0)</f>
        <v>0</v>
      </c>
      <c r="P13" s="151">
        <f>IF(P10&gt;'Книга допущений'!$B108,O12*('Книга допущений'!$B$105/12),0)</f>
        <v>0</v>
      </c>
      <c r="Q13" s="151">
        <f>IF(Q10&gt;'Книга допущений'!$B108,P12*('Книга допущений'!$B$105/12),0)</f>
        <v>0</v>
      </c>
      <c r="R13" s="151">
        <f>IF(R10&gt;'Книга допущений'!$B108,Q12*('Книга допущений'!$B$105/12),0)</f>
        <v>0</v>
      </c>
      <c r="S13" s="151">
        <f>IF(S10&gt;'Книга допущений'!$B108,R12*('Книга допущений'!$B$105/12),0)</f>
        <v>0</v>
      </c>
      <c r="T13" s="151">
        <f>IF(T10&gt;'Книга допущений'!$B108,S12*('Книга допущений'!$B$105/12),0)</f>
        <v>0</v>
      </c>
      <c r="U13" s="151">
        <f>IF(U10&gt;'Книга допущений'!$B108,T12*('Книга допущений'!$B$105/12),0)</f>
        <v>0</v>
      </c>
      <c r="V13" s="151">
        <f>IF(V10&gt;'Книга допущений'!$B108,U12*('Книга допущений'!$B$105/12),0)</f>
        <v>0</v>
      </c>
      <c r="W13" s="151">
        <f>IF(W10&gt;'Книга допущений'!$B108,V12*('Книга допущений'!$B$105/12),0)</f>
        <v>0</v>
      </c>
      <c r="X13" s="151">
        <f>IF(X10&gt;'Книга допущений'!$B108,W12*('Книга допущений'!$B$105/12),0)</f>
        <v>0</v>
      </c>
      <c r="Y13" s="151">
        <f>IF(Y10&gt;'Книга допущений'!$B108,X12*('Книга допущений'!$B$105/12),0)</f>
        <v>0</v>
      </c>
      <c r="Z13" s="151">
        <f>IF(Z10&gt;'Книга допущений'!$B108,Y12*('Книга допущений'!$B$105/12),0)</f>
        <v>0</v>
      </c>
      <c r="AA13" s="151">
        <f>IF(AA10&gt;'Книга допущений'!$B108,Z12*('Книга допущений'!$B$105/12),0)</f>
        <v>0</v>
      </c>
      <c r="AB13" s="151">
        <f>IF(AB10&gt;'Книга допущений'!$B108,AA12*('Книга допущений'!$B$105/12),0)</f>
        <v>0</v>
      </c>
      <c r="AC13" s="151">
        <f>IF(AC10&gt;'Книга допущений'!$B108,AB12*('Книга допущений'!$B$105/12),0)</f>
        <v>0</v>
      </c>
      <c r="AD13" s="151">
        <f>IF(AD10&gt;'Книга допущений'!$B108,AC12*('Книга допущений'!$B$105/12),0)</f>
        <v>0</v>
      </c>
      <c r="AE13" s="151">
        <f>IF(AE10&gt;'Книга допущений'!$B108,AD12*('Книга допущений'!$B$105/12),0)</f>
        <v>0</v>
      </c>
      <c r="AF13" s="151">
        <f>IF(AF10&gt;'Книга допущений'!$B108,AE12*('Книга допущений'!$B$105/12),0)</f>
        <v>0</v>
      </c>
      <c r="AG13" s="151">
        <f>IF(AG10&gt;'Книга допущений'!$B108,AF12*('Книга допущений'!$B$105/12),0)</f>
        <v>0</v>
      </c>
      <c r="AH13" s="151">
        <f>IF(AH10&gt;'Книга допущений'!$B108,AG12*('Книга допущений'!$B$105/12),0)</f>
        <v>0</v>
      </c>
      <c r="AI13" s="151">
        <f>IF(AI10&gt;'Книга допущений'!$B108,AH12*('Книга допущений'!$B$105/12),0)</f>
        <v>0</v>
      </c>
      <c r="AJ13" s="151">
        <f>IF(AJ10&gt;'Книга допущений'!$B108,AI12*('Книга допущений'!$B$105/12),0)</f>
        <v>0</v>
      </c>
      <c r="AK13" s="151">
        <f>IF(AK10&gt;'Книга допущений'!$B108,AJ12*('Книга допущений'!$B$105/12),0)</f>
        <v>0</v>
      </c>
      <c r="AL13" s="151">
        <f>IF(AL10&gt;'Книга допущений'!$B108,AK12*('Книга допущений'!$B$105/12),0)</f>
        <v>0</v>
      </c>
      <c r="AM13" s="151">
        <f>IF(AM10&gt;'Книга допущений'!$B108,AL12*('Книга допущений'!$B$105/12),0)</f>
        <v>0</v>
      </c>
      <c r="AN13" s="151">
        <f>IF(AN10&gt;'Книга допущений'!$B108,AM12*('Книга допущений'!$B$105/12),0)</f>
        <v>0</v>
      </c>
      <c r="AO13" s="151">
        <f>IF(AO10&gt;'Книга допущений'!$B108,AN12*('Книга допущений'!$B$105/12),0)</f>
        <v>0</v>
      </c>
      <c r="AP13" s="151">
        <f>IF(AP10&gt;'Книга допущений'!$B108,AO12*('Книга допущений'!$B$105/12),0)</f>
        <v>0</v>
      </c>
      <c r="AQ13" s="151">
        <f>IF(AQ10&gt;'Книга допущений'!$B108,AP12*('Книга допущений'!$B$105/12),0)</f>
        <v>0</v>
      </c>
      <c r="AR13" s="151">
        <f>IF(AR10&gt;'Книга допущений'!$B108,AQ12*('Книга допущений'!$B$105/12),0)</f>
        <v>0</v>
      </c>
      <c r="AS13" s="151">
        <f>IF(AS10&gt;'Книга допущений'!$B108,AR12*('Книга допущений'!$B$105/12),0)</f>
        <v>0</v>
      </c>
      <c r="AT13" s="151">
        <f>IF(AT10&gt;'Книга допущений'!$B108,AS12*('Книга допущений'!$B$105/12),0)</f>
        <v>0</v>
      </c>
      <c r="AU13" s="151">
        <f>IF(AU10&gt;'Книга допущений'!$B108,AT12*('Книга допущений'!$B$105/12),0)</f>
        <v>0</v>
      </c>
      <c r="AV13" s="151">
        <f>IF(AV10&gt;'Книга допущений'!$B108,AU12*('Книга допущений'!$B$105/12),0)</f>
        <v>0</v>
      </c>
      <c r="AW13" s="151">
        <f>IF(AW10&gt;'Книга допущений'!$B108,AV12*('Книга допущений'!$B$105/12),0)</f>
        <v>0</v>
      </c>
      <c r="AX13" s="151">
        <f>IF(AX10&gt;'Книга допущений'!$B108,AW12*('Книга допущений'!$B$105/12),0)</f>
        <v>0</v>
      </c>
      <c r="AY13" s="151">
        <f>IF(AY10&gt;'Книга допущений'!$B108,AX12*('Книга допущений'!$B$105/12),0)</f>
        <v>0</v>
      </c>
      <c r="AZ13" s="151">
        <f>IF(AZ10&gt;'Книга допущений'!$B108,AY12*('Книга допущений'!$B$105/12),0)</f>
        <v>0</v>
      </c>
      <c r="BA13" s="151">
        <f>IF(BA10&gt;'Книга допущений'!$B108,AZ12*('Книга допущений'!$B$105/12),0)</f>
        <v>0</v>
      </c>
      <c r="BB13" s="151">
        <f>IF(BB10&gt;'Книга допущений'!$B108,BA12*('Книга допущений'!$B$105/12),0)</f>
        <v>0</v>
      </c>
      <c r="BC13" s="151">
        <f>IF(BC10&gt;'Книга допущений'!$B108,BB12*('Книга допущений'!$B$105/12),0)</f>
        <v>0</v>
      </c>
      <c r="BD13" s="151">
        <f>IF(BD10&gt;'Книга допущений'!$B108,BC12*('Книга допущений'!$B$105/12),0)</f>
        <v>0</v>
      </c>
      <c r="BE13" s="151">
        <f>IF(BE10&gt;'Книга допущений'!$B108,BD12*('Книга допущений'!$B$105/12),0)</f>
        <v>0</v>
      </c>
      <c r="BF13" s="151">
        <f>IF(BF10&gt;'Книга допущений'!$B108,BE12*('Книга допущений'!$B$105/12),0)</f>
        <v>0</v>
      </c>
      <c r="BG13" s="151">
        <f>IF(BG10&gt;'Книга допущений'!$B108,BF12*('Книга допущений'!$B$105/12),0)</f>
        <v>0</v>
      </c>
      <c r="BH13" s="151">
        <f>IF(BH10&gt;'Книга допущений'!$B108,BG12*('Книга допущений'!$B$105/12),0)</f>
        <v>0</v>
      </c>
      <c r="BI13" s="151">
        <f>IF(BI10&gt;'Книга допущений'!$B108,BH12*('Книга допущений'!$B$105/12),0)</f>
        <v>0</v>
      </c>
      <c r="BJ13" s="151">
        <f>IF(BJ10&gt;'Книга допущений'!$B108,BI12*('Книга допущений'!$B$105/12),0)</f>
        <v>0</v>
      </c>
      <c r="BK13" s="151">
        <f>IF(BK10&gt;'Книга допущений'!$B108,BJ12*('Книга допущений'!$B$105/12),0)</f>
        <v>0</v>
      </c>
      <c r="BL13" s="151">
        <f>IF(BL10&gt;'Книга допущений'!$B108,BK12*('Книга допущений'!$B$105/12),0)</f>
        <v>0</v>
      </c>
      <c r="BM13" s="151">
        <f>IF(BM10&gt;'Книга допущений'!$B108,BL12*('Книга допущений'!$B$105/12),0)</f>
        <v>0</v>
      </c>
      <c r="BN13" s="151">
        <f>IF(BN10&gt;'Книга допущений'!$B108,BM12*('Книга допущений'!$B$105/12),0)</f>
        <v>0</v>
      </c>
      <c r="BO13" s="151">
        <f>IF(BO10&gt;'Книга допущений'!$B108,BN12*('Книга допущений'!$B$105/12),0)</f>
        <v>0</v>
      </c>
      <c r="BP13" s="151">
        <f>IF(BP10&gt;'Книга допущений'!$B108,BO12*('Книга допущений'!$B$105/12),0)</f>
        <v>0</v>
      </c>
      <c r="BQ13" s="151">
        <f>IF(BQ10&gt;'Книга допущений'!$B108,BP12*('Книга допущений'!$B$105/12),0)</f>
        <v>0</v>
      </c>
      <c r="BR13" s="151">
        <f>IF(BR10&gt;'Книга допущений'!$B108,BQ12*('Книга допущений'!$B$105/12),0)</f>
        <v>0</v>
      </c>
      <c r="BS13" s="151">
        <f>IF(BS10&gt;'Книга допущений'!$B108,BR12*('Книга допущений'!$B$105/12),0)</f>
        <v>0</v>
      </c>
      <c r="BT13" s="151">
        <f>IF(BT10&gt;'Книга допущений'!$B108,BS12*('Книга допущений'!$B$105/12),0)</f>
        <v>0</v>
      </c>
      <c r="BU13" s="151">
        <f>IF(BU10&gt;'Книга допущений'!$B108,BT12*('Книга допущений'!$B$105/12),0)</f>
        <v>0</v>
      </c>
      <c r="BV13" s="151">
        <f>IF(BV10&gt;'Книга допущений'!$B108,BU12*('Книга допущений'!$B$105/12),0)</f>
        <v>0</v>
      </c>
      <c r="BW13" s="151">
        <f>IF(BW10&gt;'Книга допущений'!$B108,BV12*('Книга допущений'!$B$105/12),0)</f>
        <v>0</v>
      </c>
      <c r="BX13" s="151">
        <f>IF(BX10&gt;'Книга допущений'!$B108,BW12*('Книга допущений'!$B$105/12),0)</f>
        <v>0</v>
      </c>
    </row>
    <row r="14" spans="1:76" x14ac:dyDescent="0.25">
      <c r="A14" s="90" t="s">
        <v>69</v>
      </c>
      <c r="B14" s="151">
        <v>0</v>
      </c>
      <c r="C14" s="151">
        <f>IF(C10&gt;'Книга допущений'!$B106,0,IF(C10&gt;'Книга допущений'!$B$107,'Книга допущений'!$B$104/('Книга допущений'!$B$106-'Книга допущений'!$B$107),0))</f>
        <v>0</v>
      </c>
      <c r="D14" s="151">
        <f>IF(D10&gt;'Книга допущений'!$B106,0,IF(D10&gt;'Книга допущений'!$B$107,'Книга допущений'!$B$104/('Книга допущений'!$B$106-'Книга допущений'!$B$107),0))</f>
        <v>0</v>
      </c>
      <c r="E14" s="151">
        <f>IF(E10&gt;'Книга допущений'!$B106,0,IF(E10&gt;'Книга допущений'!$B$107,'Книга допущений'!$B$104/('Книга допущений'!$B$106-'Книга допущений'!$B$107),0))</f>
        <v>0</v>
      </c>
      <c r="F14" s="151">
        <f>IF(F10&gt;'Книга допущений'!$B106,0,IF(F10&gt;'Книга допущений'!$B$107,'Книга допущений'!$B$104/('Книга допущений'!$B$106-'Книга допущений'!$B$107),0))</f>
        <v>0</v>
      </c>
      <c r="G14" s="151">
        <f>IF(G10&gt;'Книга допущений'!$B106,0,IF(G10&gt;'Книга допущений'!$B$107,'Книга допущений'!$B$104/('Книга допущений'!$B$106-'Книга допущений'!$B$107),0))</f>
        <v>0</v>
      </c>
      <c r="H14" s="151">
        <f>IF(H10&gt;'Книга допущений'!$B106,0,IF(H10&gt;'Книга допущений'!$B$107,'Книга допущений'!$B$104/('Книга допущений'!$B$106-'Книга допущений'!$B$107),0))</f>
        <v>0</v>
      </c>
      <c r="I14" s="151">
        <f>IF(I10&gt;'Книга допущений'!$B106,0,IF(I10&gt;'Книга допущений'!$B$107,'Книга допущений'!$B$104/('Книга допущений'!$B$106-'Книга допущений'!$B$107),0))</f>
        <v>0</v>
      </c>
      <c r="J14" s="151">
        <f>IF(J10&gt;'Книга допущений'!$B106,0,IF(J10&gt;'Книга допущений'!$B$107,'Книга допущений'!$B$104/('Книга допущений'!$B$106-'Книга допущений'!$B$107),0))</f>
        <v>0</v>
      </c>
      <c r="K14" s="151">
        <f>IF(K10&gt;'Книга допущений'!$B106,0,IF(K10&gt;'Книга допущений'!$B$107,'Книга допущений'!$B$104/('Книга допущений'!$B$106-'Книга допущений'!$B$107),0))</f>
        <v>0</v>
      </c>
      <c r="L14" s="151">
        <f>IF(L10&gt;'Книга допущений'!$B106,0,IF(L10&gt;'Книга допущений'!$B$107,'Книга допущений'!$B$104/('Книга допущений'!$B$106-'Книга допущений'!$B$107),0))</f>
        <v>0</v>
      </c>
      <c r="M14" s="151">
        <f>IF(M10&gt;'Книга допущений'!$B106,0,IF(M10&gt;'Книга допущений'!$B$107,'Книга допущений'!$B$104/('Книга допущений'!$B$106-'Книга допущений'!$B$107),0))</f>
        <v>0</v>
      </c>
      <c r="N14" s="151">
        <f>IF(N10&gt;'Книга допущений'!$B106,0,IF(N10&gt;'Книга допущений'!$B$107,'Книга допущений'!$B$104/('Книга допущений'!$B$106-'Книга допущений'!$B$107),0))</f>
        <v>0</v>
      </c>
      <c r="O14" s="151">
        <f>IF(O10&gt;'Книга допущений'!$B106,0,IF(O10&gt;'Книга допущений'!$B$107,'Книга допущений'!$B$104/('Книга допущений'!$B$106-'Книга допущений'!$B$107),0))</f>
        <v>0</v>
      </c>
      <c r="P14" s="151">
        <f>IF(P10&gt;'Книга допущений'!$B106,0,IF(P10&gt;'Книга допущений'!$B$107,'Книга допущений'!$B$104/('Книга допущений'!$B$106-'Книга допущений'!$B$107),0))</f>
        <v>0</v>
      </c>
      <c r="Q14" s="151">
        <f>IF(Q10&gt;'Книга допущений'!$B106,0,IF(Q10&gt;'Книга допущений'!$B$107,'Книга допущений'!$B$104/('Книга допущений'!$B$106-'Книга допущений'!$B$107),0))</f>
        <v>0</v>
      </c>
      <c r="R14" s="151">
        <f>IF(R10&gt;'Книга допущений'!$B106,0,IF(R10&gt;'Книга допущений'!$B$107,'Книга допущений'!$B$104/('Книга допущений'!$B$106-'Книга допущений'!$B$107),0))</f>
        <v>0</v>
      </c>
      <c r="S14" s="151">
        <f>IF(S10&gt;'Книга допущений'!$B106,0,IF(S10&gt;'Книга допущений'!$B$107,'Книга допущений'!$B$104/('Книга допущений'!$B$106-'Книга допущений'!$B$107),0))</f>
        <v>0</v>
      </c>
      <c r="T14" s="151">
        <f>IF(T10&gt;'Книга допущений'!$B106,0,IF(T10&gt;'Книга допущений'!$B$107,'Книга допущений'!$B$104/('Книга допущений'!$B$106-'Книга допущений'!$B$107),0))</f>
        <v>0</v>
      </c>
      <c r="U14" s="151">
        <f>IF(U10&gt;'Книга допущений'!$B106,0,IF(U10&gt;'Книга допущений'!$B$107,'Книга допущений'!$B$104/('Книга допущений'!$B$106-'Книга допущений'!$B$107),0))</f>
        <v>0</v>
      </c>
      <c r="V14" s="151">
        <f>IF(V10&gt;'Книга допущений'!$B106,0,IF(V10&gt;'Книга допущений'!$B$107,'Книга допущений'!$B$104/('Книга допущений'!$B$106-'Книга допущений'!$B$107),0))</f>
        <v>0</v>
      </c>
      <c r="W14" s="151">
        <f>IF(W10&gt;'Книга допущений'!$B106,0,IF(W10&gt;'Книга допущений'!$B$107,'Книга допущений'!$B$104/('Книга допущений'!$B$106-'Книга допущений'!$B$107),0))</f>
        <v>0</v>
      </c>
      <c r="X14" s="151">
        <f>IF(X10&gt;'Книга допущений'!$B106,0,IF(X10&gt;'Книга допущений'!$B$107,'Книга допущений'!$B$104/('Книга допущений'!$B$106-'Книга допущений'!$B$107),0))</f>
        <v>0</v>
      </c>
      <c r="Y14" s="151">
        <f>IF(Y10&gt;'Книга допущений'!$B106,0,IF(Y10&gt;'Книга допущений'!$B$107,'Книга допущений'!$B$104/('Книга допущений'!$B$106-'Книга допущений'!$B$107),0))</f>
        <v>0</v>
      </c>
      <c r="Z14" s="151">
        <f>IF(Z10&gt;'Книга допущений'!$B106,0,IF(Z10&gt;'Книга допущений'!$B$107,'Книга допущений'!$B$104/('Книга допущений'!$B$106-'Книга допущений'!$B$107),0))</f>
        <v>0</v>
      </c>
      <c r="AA14" s="151">
        <f>IF(AA10&gt;'Книга допущений'!$B106,0,IF(AA10&gt;'Книга допущений'!$B$107,'Книга допущений'!$B$104/('Книга допущений'!$B$106-'Книга допущений'!$B$107),0))</f>
        <v>0</v>
      </c>
      <c r="AB14" s="151">
        <f>IF(AB10&gt;'Книга допущений'!$B106,0,IF(AB10&gt;'Книга допущений'!$B$107,'Книга допущений'!$B$104/('Книга допущений'!$B$106-'Книга допущений'!$B$107),0))</f>
        <v>0</v>
      </c>
      <c r="AC14" s="151">
        <f>IF(AC10&gt;'Книга допущений'!$B106,0,IF(AC10&gt;'Книга допущений'!$B$107,'Книга допущений'!$B$104/('Книга допущений'!$B$106-'Книга допущений'!$B$107),0))</f>
        <v>0</v>
      </c>
      <c r="AD14" s="151">
        <f>IF(AD10&gt;'Книга допущений'!$B106,0,IF(AD10&gt;'Книга допущений'!$B$107,'Книга допущений'!$B$104/('Книга допущений'!$B$106-'Книга допущений'!$B$107),0))</f>
        <v>0</v>
      </c>
      <c r="AE14" s="151">
        <f>IF(AE10&gt;'Книга допущений'!$B106,0,IF(AE10&gt;'Книга допущений'!$B$107,'Книга допущений'!$B$104/('Книга допущений'!$B$106-'Книга допущений'!$B$107),0))</f>
        <v>0</v>
      </c>
      <c r="AF14" s="151">
        <f>IF(AF10&gt;'Книга допущений'!$B106,0,IF(AF10&gt;'Книга допущений'!$B$107,'Книга допущений'!$B$104/('Книга допущений'!$B$106-'Книга допущений'!$B$107),0))</f>
        <v>0</v>
      </c>
      <c r="AG14" s="151">
        <f>IF(AG10&gt;'Книга допущений'!$B106,0,IF(AG10&gt;'Книга допущений'!$B$107,'Книга допущений'!$B$104/('Книга допущений'!$B$106-'Книга допущений'!$B$107),0))</f>
        <v>0</v>
      </c>
      <c r="AH14" s="151">
        <f>IF(AH10&gt;'Книга допущений'!$B106,0,IF(AH10&gt;'Книга допущений'!$B$107,'Книга допущений'!$B$104/('Книга допущений'!$B$106-'Книга допущений'!$B$107),0))</f>
        <v>0</v>
      </c>
      <c r="AI14" s="151">
        <f>IF(AI10&gt;'Книга допущений'!$B106,0,IF(AI10&gt;'Книга допущений'!$B$107,'Книга допущений'!$B$104/('Книга допущений'!$B$106-'Книга допущений'!$B$107),0))</f>
        <v>0</v>
      </c>
      <c r="AJ14" s="151">
        <f>IF(AJ10&gt;'Книга допущений'!$B106,0,IF(AJ10&gt;'Книга допущений'!$B$107,'Книга допущений'!$B$104/('Книга допущений'!$B$106-'Книга допущений'!$B$107),0))</f>
        <v>0</v>
      </c>
      <c r="AK14" s="151">
        <f>IF(AK10&gt;'Книга допущений'!$B106,0,IF(AK10&gt;'Книга допущений'!$B$107,'Книга допущений'!$B$104/('Книга допущений'!$B$106-'Книга допущений'!$B$107),0))</f>
        <v>0</v>
      </c>
      <c r="AL14" s="151">
        <f>IF(AL10&gt;'Книга допущений'!$B106,0,IF(AL10&gt;'Книга допущений'!$B$107,'Книга допущений'!$B$104/('Книга допущений'!$B$106-'Книга допущений'!$B$107),0))</f>
        <v>0</v>
      </c>
      <c r="AM14" s="151">
        <f>IF(AM10&gt;'Книга допущений'!$B106,0,IF(AM10&gt;'Книга допущений'!$B$107,'Книга допущений'!$B$104/('Книга допущений'!$B$106-'Книга допущений'!$B$107),0))</f>
        <v>0</v>
      </c>
      <c r="AN14" s="151">
        <f>IF(AN10&gt;'Книга допущений'!$B106,0,IF(AN10&gt;'Книга допущений'!$B$107,'Книга допущений'!$B$104/('Книга допущений'!$B$106-'Книга допущений'!$B$107),0))</f>
        <v>0</v>
      </c>
      <c r="AO14" s="151">
        <f>IF(AO10&gt;'Книга допущений'!$B106,0,IF(AO10&gt;'Книга допущений'!$B$107,'Книга допущений'!$B$104/('Книга допущений'!$B$106-'Книга допущений'!$B$107),0))</f>
        <v>0</v>
      </c>
      <c r="AP14" s="151">
        <f>IF(AP10&gt;'Книга допущений'!$B106,0,IF(AP10&gt;'Книга допущений'!$B$107,'Книга допущений'!$B$104/('Книга допущений'!$B$106-'Книга допущений'!$B$107),0))</f>
        <v>0</v>
      </c>
      <c r="AQ14" s="151">
        <f>IF(AQ10&gt;'Книга допущений'!$B106,0,IF(AQ10&gt;'Книга допущений'!$B$107,'Книга допущений'!$B$104/('Книга допущений'!$B$106-'Книга допущений'!$B$107),0))</f>
        <v>0</v>
      </c>
      <c r="AR14" s="151">
        <f>IF(AR10&gt;'Книга допущений'!$B106,0,IF(AR10&gt;'Книга допущений'!$B$107,'Книга допущений'!$B$104/('Книга допущений'!$B$106-'Книга допущений'!$B$107),0))</f>
        <v>0</v>
      </c>
      <c r="AS14" s="151">
        <f>IF(AS10&gt;'Книга допущений'!$B106,0,IF(AS10&gt;'Книга допущений'!$B$107,'Книга допущений'!$B$104/('Книга допущений'!$B$106-'Книга допущений'!$B$107),0))</f>
        <v>0</v>
      </c>
      <c r="AT14" s="151">
        <f>IF(AT10&gt;'Книга допущений'!$B106,0,IF(AT10&gt;'Книга допущений'!$B$107,'Книга допущений'!$B$104/('Книга допущений'!$B$106-'Книга допущений'!$B$107),0))</f>
        <v>0</v>
      </c>
      <c r="AU14" s="151">
        <f>IF(AU10&gt;'Книга допущений'!$B106,0,IF(AU10&gt;'Книга допущений'!$B$107,'Книга допущений'!$B$104/('Книга допущений'!$B$106-'Книга допущений'!$B$107),0))</f>
        <v>0</v>
      </c>
      <c r="AV14" s="151">
        <f>IF(AV10&gt;'Книга допущений'!$B106,0,IF(AV10&gt;'Книга допущений'!$B$107,'Книга допущений'!$B$104/('Книга допущений'!$B$106-'Книга допущений'!$B$107),0))</f>
        <v>0</v>
      </c>
      <c r="AW14" s="151">
        <f>IF(AW10&gt;'Книга допущений'!$B106,0,IF(AW10&gt;'Книга допущений'!$B$107,'Книга допущений'!$B$104/('Книга допущений'!$B$106-'Книга допущений'!$B$107),0))</f>
        <v>0</v>
      </c>
      <c r="AX14" s="151">
        <f>IF(AX10&gt;'Книга допущений'!$B106,0,IF(AX10&gt;'Книга допущений'!$B$107,'Книга допущений'!$B$104/('Книга допущений'!$B$106-'Книга допущений'!$B$107),0))</f>
        <v>0</v>
      </c>
      <c r="AY14" s="151">
        <f>IF(AY10&gt;'Книга допущений'!$B106,0,IF(AY10&gt;'Книга допущений'!$B$107,'Книга допущений'!$B$104/('Книга допущений'!$B$106-'Книга допущений'!$B$107),0))</f>
        <v>0</v>
      </c>
      <c r="AZ14" s="151">
        <f>IF(AZ10&gt;'Книга допущений'!$B106,0,IF(AZ10&gt;'Книга допущений'!$B$107,'Книга допущений'!$B$104/('Книга допущений'!$B$106-'Книга допущений'!$B$107),0))</f>
        <v>0</v>
      </c>
      <c r="BA14" s="151">
        <f>IF(BA10&gt;'Книга допущений'!$B106,0,IF(BA10&gt;'Книга допущений'!$B$107,'Книга допущений'!$B$104/('Книга допущений'!$B$106-'Книга допущений'!$B$107),0))</f>
        <v>0</v>
      </c>
      <c r="BB14" s="151">
        <f>IF(BB10&gt;'Книга допущений'!$B106,0,IF(BB10&gt;'Книга допущений'!$B$107,'Книга допущений'!$B$104/('Книга допущений'!$B$106-'Книга допущений'!$B$107),0))</f>
        <v>0</v>
      </c>
      <c r="BC14" s="151">
        <f>IF(BC10&gt;'Книга допущений'!$B106,0,IF(BC10&gt;'Книга допущений'!$B$107,'Книга допущений'!$B$104/('Книга допущений'!$B$106-'Книга допущений'!$B$107),0))</f>
        <v>0</v>
      </c>
      <c r="BD14" s="151">
        <f>IF(BD10&gt;'Книга допущений'!$B106,0,IF(BD10&gt;'Книга допущений'!$B$107,'Книга допущений'!$B$104/('Книга допущений'!$B$106-'Книга допущений'!$B$107),0))</f>
        <v>0</v>
      </c>
      <c r="BE14" s="151">
        <f>IF(BE10&gt;'Книга допущений'!$B106,0,IF(BE10&gt;'Книга допущений'!$B$107,'Книга допущений'!$B$104/('Книга допущений'!$B$106-'Книга допущений'!$B$107),0))</f>
        <v>0</v>
      </c>
      <c r="BF14" s="151">
        <f>IF(BF10&gt;'Книга допущений'!$B106,0,IF(BF10&gt;'Книга допущений'!$B$107,'Книга допущений'!$B$104/('Книга допущений'!$B$106-'Книга допущений'!$B$107),0))</f>
        <v>0</v>
      </c>
      <c r="BG14" s="151">
        <f>IF(BG10&gt;'Книга допущений'!$B106,0,IF(BG10&gt;'Книга допущений'!$B$107,'Книга допущений'!$B$104/('Книга допущений'!$B$106-'Книга допущений'!$B$107),0))</f>
        <v>0</v>
      </c>
      <c r="BH14" s="151">
        <f>IF(BH10&gt;'Книга допущений'!$B106,0,IF(BH10&gt;'Книга допущений'!$B$107,'Книга допущений'!$B$104/('Книга допущений'!$B$106-'Книга допущений'!$B$107),0))</f>
        <v>0</v>
      </c>
      <c r="BI14" s="151">
        <f>IF(BI10&gt;'Книга допущений'!$B106,0,IF(BI10&gt;'Книга допущений'!$B$107,'Книга допущений'!$B$104/('Книга допущений'!$B$106-'Книга допущений'!$B$107),0))</f>
        <v>0</v>
      </c>
      <c r="BJ14" s="151">
        <f>IF(BJ10&gt;'Книга допущений'!$B106,0,IF(BJ10&gt;'Книга допущений'!$B$107,'Книга допущений'!$B$104/('Книга допущений'!$B$106-'Книга допущений'!$B$107),0))</f>
        <v>0</v>
      </c>
      <c r="BK14" s="151">
        <f>IF(BK10&gt;'Книга допущений'!$B106,0,IF(BK10&gt;'Книга допущений'!$B$107,'Книга допущений'!$B$104/('Книга допущений'!$B$106-'Книга допущений'!$B$107),0))</f>
        <v>0</v>
      </c>
      <c r="BL14" s="151">
        <f>IF(BL10&gt;'Книга допущений'!$B106,0,IF(BL10&gt;'Книга допущений'!$B$107,'Книга допущений'!$B$104/('Книга допущений'!$B$106-'Книга допущений'!$B$107),0))</f>
        <v>0</v>
      </c>
      <c r="BM14" s="151">
        <f>IF(BM10&gt;'Книга допущений'!$B106,0,IF(BM10&gt;'Книга допущений'!$B$107,'Книга допущений'!$B$104/('Книга допущений'!$B$106-'Книга допущений'!$B$107),0))</f>
        <v>0</v>
      </c>
      <c r="BN14" s="151">
        <f>IF(BN10&gt;'Книга допущений'!$B106,0,IF(BN10&gt;'Книга допущений'!$B$107,'Книга допущений'!$B$104/('Книга допущений'!$B$106-'Книга допущений'!$B$107),0))</f>
        <v>0</v>
      </c>
      <c r="BO14" s="151">
        <f>IF(BO10&gt;'Книга допущений'!$B106,0,IF(BO10&gt;'Книга допущений'!$B$107,'Книга допущений'!$B$104/('Книга допущений'!$B$106-'Книга допущений'!$B$107),0))</f>
        <v>0</v>
      </c>
      <c r="BP14" s="151">
        <f>IF(BP10&gt;'Книга допущений'!$B106,0,IF(BP10&gt;'Книга допущений'!$B$107,'Книга допущений'!$B$104/('Книга допущений'!$B$106-'Книга допущений'!$B$107),0))</f>
        <v>0</v>
      </c>
      <c r="BQ14" s="151">
        <f>IF(BQ10&gt;'Книга допущений'!$B106,0,IF(BQ10&gt;'Книга допущений'!$B$107,'Книга допущений'!$B$104/('Книга допущений'!$B$106-'Книга допущений'!$B$107),0))</f>
        <v>0</v>
      </c>
      <c r="BR14" s="151">
        <f>IF(BR10&gt;'Книга допущений'!$B106,0,IF(BR10&gt;'Книга допущений'!$B$107,'Книга допущений'!$B$104/('Книга допущений'!$B$106-'Книга допущений'!$B$107),0))</f>
        <v>0</v>
      </c>
      <c r="BS14" s="151">
        <f>IF(BS10&gt;'Книга допущений'!$B106,0,IF(BS10&gt;'Книга допущений'!$B$107,'Книга допущений'!$B$104/('Книга допущений'!$B$106-'Книга допущений'!$B$107),0))</f>
        <v>0</v>
      </c>
      <c r="BT14" s="151">
        <f>IF(BT10&gt;'Книга допущений'!$B106,0,IF(BT10&gt;'Книга допущений'!$B$107,'Книга допущений'!$B$104/('Книга допущений'!$B$106-'Книга допущений'!$B$107),0))</f>
        <v>0</v>
      </c>
      <c r="BU14" s="151">
        <f>IF(BU10&gt;'Книга допущений'!$B106,0,IF(BU10&gt;'Книга допущений'!$B$107,'Книга допущений'!$B$104/('Книга допущений'!$B$106-'Книга допущений'!$B$107),0))</f>
        <v>0</v>
      </c>
      <c r="BV14" s="151">
        <f>IF(BV10&gt;'Книга допущений'!$B106,0,IF(BV10&gt;'Книга допущений'!$B$107,'Книга допущений'!$B$104/('Книга допущений'!$B$106-'Книга допущений'!$B$107),0))</f>
        <v>0</v>
      </c>
      <c r="BW14" s="151">
        <f>IF(BW10&gt;'Книга допущений'!$B106,0,IF(BW10&gt;'Книга допущений'!$B$107,'Книга допущений'!$B$104/('Книга допущений'!$B$106-'Книга допущений'!$B$107),0))</f>
        <v>0</v>
      </c>
      <c r="BX14" s="151">
        <f>IF(BX10&gt;'Книга допущений'!$B106,0,IF(BX10&gt;'Книга допущений'!$B$107,'Книга допущений'!$B$104/('Книга допущений'!$B$106-'Книга допущений'!$B$107),0))</f>
        <v>0</v>
      </c>
    </row>
    <row r="16" spans="1:76" ht="15" customHeight="1" x14ac:dyDescent="0.25">
      <c r="A16" s="16" t="s">
        <v>677</v>
      </c>
      <c r="K16" s="29"/>
    </row>
    <row r="17" spans="1:76" x14ac:dyDescent="0.25">
      <c r="A17" s="497"/>
      <c r="B17" s="185">
        <f>B8</f>
        <v>2020</v>
      </c>
      <c r="C17" s="185">
        <f t="shared" ref="C17:BN17" si="189">C8</f>
        <v>2020</v>
      </c>
      <c r="D17" s="185">
        <f t="shared" si="189"/>
        <v>2020</v>
      </c>
      <c r="E17" s="185">
        <f t="shared" si="189"/>
        <v>2021</v>
      </c>
      <c r="F17" s="185">
        <f t="shared" si="189"/>
        <v>2021</v>
      </c>
      <c r="G17" s="185">
        <f t="shared" si="189"/>
        <v>2021</v>
      </c>
      <c r="H17" s="185">
        <f t="shared" si="189"/>
        <v>2021</v>
      </c>
      <c r="I17" s="185">
        <f t="shared" si="189"/>
        <v>2021</v>
      </c>
      <c r="J17" s="185">
        <f t="shared" si="189"/>
        <v>2021</v>
      </c>
      <c r="K17" s="185">
        <f t="shared" si="189"/>
        <v>2021</v>
      </c>
      <c r="L17" s="185">
        <f t="shared" si="189"/>
        <v>2021</v>
      </c>
      <c r="M17" s="185">
        <f t="shared" si="189"/>
        <v>2021</v>
      </c>
      <c r="N17" s="185">
        <f t="shared" si="189"/>
        <v>2021</v>
      </c>
      <c r="O17" s="185">
        <f t="shared" si="189"/>
        <v>2021</v>
      </c>
      <c r="P17" s="185">
        <f t="shared" si="189"/>
        <v>2021</v>
      </c>
      <c r="Q17" s="185">
        <f t="shared" si="189"/>
        <v>2022</v>
      </c>
      <c r="R17" s="185">
        <f t="shared" si="189"/>
        <v>2022</v>
      </c>
      <c r="S17" s="185">
        <f t="shared" si="189"/>
        <v>2022</v>
      </c>
      <c r="T17" s="185">
        <f t="shared" si="189"/>
        <v>2022</v>
      </c>
      <c r="U17" s="185">
        <f t="shared" si="189"/>
        <v>2022</v>
      </c>
      <c r="V17" s="185">
        <f t="shared" si="189"/>
        <v>2022</v>
      </c>
      <c r="W17" s="185">
        <f t="shared" si="189"/>
        <v>2022</v>
      </c>
      <c r="X17" s="185">
        <f t="shared" si="189"/>
        <v>2022</v>
      </c>
      <c r="Y17" s="185">
        <f t="shared" si="189"/>
        <v>2022</v>
      </c>
      <c r="Z17" s="185">
        <f t="shared" si="189"/>
        <v>2022</v>
      </c>
      <c r="AA17" s="185">
        <f t="shared" si="189"/>
        <v>2022</v>
      </c>
      <c r="AB17" s="185">
        <f t="shared" si="189"/>
        <v>2022</v>
      </c>
      <c r="AC17" s="185">
        <f t="shared" si="189"/>
        <v>2023</v>
      </c>
      <c r="AD17" s="185">
        <f t="shared" si="189"/>
        <v>2023</v>
      </c>
      <c r="AE17" s="185">
        <f t="shared" si="189"/>
        <v>2023</v>
      </c>
      <c r="AF17" s="185">
        <f t="shared" si="189"/>
        <v>2023</v>
      </c>
      <c r="AG17" s="185">
        <f t="shared" si="189"/>
        <v>2023</v>
      </c>
      <c r="AH17" s="185">
        <f t="shared" si="189"/>
        <v>2023</v>
      </c>
      <c r="AI17" s="185">
        <f t="shared" si="189"/>
        <v>2023</v>
      </c>
      <c r="AJ17" s="185">
        <f t="shared" si="189"/>
        <v>2023</v>
      </c>
      <c r="AK17" s="185">
        <f t="shared" si="189"/>
        <v>2023</v>
      </c>
      <c r="AL17" s="185">
        <f t="shared" si="189"/>
        <v>2023</v>
      </c>
      <c r="AM17" s="185">
        <f t="shared" si="189"/>
        <v>2023</v>
      </c>
      <c r="AN17" s="185">
        <f t="shared" si="189"/>
        <v>2023</v>
      </c>
      <c r="AO17" s="185">
        <f t="shared" si="189"/>
        <v>2024</v>
      </c>
      <c r="AP17" s="185">
        <f t="shared" si="189"/>
        <v>2024</v>
      </c>
      <c r="AQ17" s="185">
        <f t="shared" si="189"/>
        <v>2024</v>
      </c>
      <c r="AR17" s="185">
        <f t="shared" si="189"/>
        <v>2024</v>
      </c>
      <c r="AS17" s="185">
        <f t="shared" si="189"/>
        <v>2024</v>
      </c>
      <c r="AT17" s="185">
        <f t="shared" si="189"/>
        <v>2024</v>
      </c>
      <c r="AU17" s="185">
        <f t="shared" si="189"/>
        <v>2024</v>
      </c>
      <c r="AV17" s="185">
        <f t="shared" si="189"/>
        <v>2024</v>
      </c>
      <c r="AW17" s="185">
        <f t="shared" si="189"/>
        <v>2024</v>
      </c>
      <c r="AX17" s="185">
        <f t="shared" si="189"/>
        <v>2024</v>
      </c>
      <c r="AY17" s="185">
        <f t="shared" si="189"/>
        <v>2024</v>
      </c>
      <c r="AZ17" s="185">
        <f t="shared" si="189"/>
        <v>2024</v>
      </c>
      <c r="BA17" s="185">
        <f t="shared" si="189"/>
        <v>2025</v>
      </c>
      <c r="BB17" s="185">
        <f t="shared" si="189"/>
        <v>2025</v>
      </c>
      <c r="BC17" s="185">
        <f t="shared" si="189"/>
        <v>2025</v>
      </c>
      <c r="BD17" s="185">
        <f t="shared" si="189"/>
        <v>2025</v>
      </c>
      <c r="BE17" s="185">
        <f t="shared" si="189"/>
        <v>2025</v>
      </c>
      <c r="BF17" s="185">
        <f t="shared" si="189"/>
        <v>2025</v>
      </c>
      <c r="BG17" s="185">
        <f t="shared" si="189"/>
        <v>2025</v>
      </c>
      <c r="BH17" s="185">
        <f t="shared" si="189"/>
        <v>2025</v>
      </c>
      <c r="BI17" s="185">
        <f t="shared" si="189"/>
        <v>2025</v>
      </c>
      <c r="BJ17" s="185">
        <f t="shared" si="189"/>
        <v>2025</v>
      </c>
      <c r="BK17" s="185">
        <f t="shared" si="189"/>
        <v>2025</v>
      </c>
      <c r="BL17" s="185">
        <f t="shared" si="189"/>
        <v>2025</v>
      </c>
      <c r="BM17" s="185">
        <f t="shared" si="189"/>
        <v>2026</v>
      </c>
      <c r="BN17" s="185">
        <f t="shared" si="189"/>
        <v>2026</v>
      </c>
      <c r="BO17" s="185">
        <f t="shared" ref="BO17:BX17" si="190">BO8</f>
        <v>2026</v>
      </c>
      <c r="BP17" s="185">
        <f t="shared" si="190"/>
        <v>2026</v>
      </c>
      <c r="BQ17" s="185">
        <f t="shared" si="190"/>
        <v>2026</v>
      </c>
      <c r="BR17" s="185">
        <f t="shared" si="190"/>
        <v>2026</v>
      </c>
      <c r="BS17" s="185">
        <f t="shared" si="190"/>
        <v>2026</v>
      </c>
      <c r="BT17" s="185">
        <f t="shared" si="190"/>
        <v>2026</v>
      </c>
      <c r="BU17" s="185">
        <f t="shared" si="190"/>
        <v>2026</v>
      </c>
      <c r="BV17" s="185">
        <f t="shared" si="190"/>
        <v>2026</v>
      </c>
      <c r="BW17" s="185">
        <f t="shared" si="190"/>
        <v>2026</v>
      </c>
      <c r="BX17" s="185">
        <f t="shared" si="190"/>
        <v>2026</v>
      </c>
    </row>
    <row r="18" spans="1:76" x14ac:dyDescent="0.25">
      <c r="A18" s="498"/>
      <c r="B18" s="396">
        <f>B9</f>
        <v>44106</v>
      </c>
      <c r="C18" s="396">
        <f t="shared" ref="C18:BN18" si="191">C9</f>
        <v>44137</v>
      </c>
      <c r="D18" s="396">
        <f t="shared" si="191"/>
        <v>44167</v>
      </c>
      <c r="E18" s="396">
        <f t="shared" si="191"/>
        <v>44198</v>
      </c>
      <c r="F18" s="396">
        <f t="shared" si="191"/>
        <v>44229</v>
      </c>
      <c r="G18" s="396">
        <f t="shared" si="191"/>
        <v>44257</v>
      </c>
      <c r="H18" s="396">
        <f t="shared" si="191"/>
        <v>44288</v>
      </c>
      <c r="I18" s="396">
        <f t="shared" si="191"/>
        <v>44318</v>
      </c>
      <c r="J18" s="396">
        <f t="shared" si="191"/>
        <v>44349</v>
      </c>
      <c r="K18" s="396">
        <f t="shared" si="191"/>
        <v>44379</v>
      </c>
      <c r="L18" s="396">
        <f t="shared" si="191"/>
        <v>44410</v>
      </c>
      <c r="M18" s="396">
        <f t="shared" si="191"/>
        <v>44441</v>
      </c>
      <c r="N18" s="396">
        <f t="shared" si="191"/>
        <v>44471</v>
      </c>
      <c r="O18" s="396">
        <f t="shared" si="191"/>
        <v>44502</v>
      </c>
      <c r="P18" s="396">
        <f t="shared" si="191"/>
        <v>44532</v>
      </c>
      <c r="Q18" s="396">
        <f t="shared" si="191"/>
        <v>44563</v>
      </c>
      <c r="R18" s="396">
        <f t="shared" si="191"/>
        <v>44594</v>
      </c>
      <c r="S18" s="396">
        <f t="shared" si="191"/>
        <v>44622</v>
      </c>
      <c r="T18" s="396">
        <f t="shared" si="191"/>
        <v>44653</v>
      </c>
      <c r="U18" s="396">
        <f t="shared" si="191"/>
        <v>44683</v>
      </c>
      <c r="V18" s="396">
        <f t="shared" si="191"/>
        <v>44714</v>
      </c>
      <c r="W18" s="396">
        <f t="shared" si="191"/>
        <v>44744</v>
      </c>
      <c r="X18" s="396">
        <f t="shared" si="191"/>
        <v>44775</v>
      </c>
      <c r="Y18" s="396">
        <f t="shared" si="191"/>
        <v>44806</v>
      </c>
      <c r="Z18" s="396">
        <f t="shared" si="191"/>
        <v>44836</v>
      </c>
      <c r="AA18" s="396">
        <f t="shared" si="191"/>
        <v>44867</v>
      </c>
      <c r="AB18" s="396">
        <f t="shared" si="191"/>
        <v>44897</v>
      </c>
      <c r="AC18" s="396">
        <f t="shared" si="191"/>
        <v>44928</v>
      </c>
      <c r="AD18" s="396">
        <f t="shared" si="191"/>
        <v>44959</v>
      </c>
      <c r="AE18" s="396">
        <f t="shared" si="191"/>
        <v>44987</v>
      </c>
      <c r="AF18" s="396">
        <f t="shared" si="191"/>
        <v>45018</v>
      </c>
      <c r="AG18" s="396">
        <f t="shared" si="191"/>
        <v>45048</v>
      </c>
      <c r="AH18" s="396">
        <f t="shared" si="191"/>
        <v>45079</v>
      </c>
      <c r="AI18" s="396">
        <f t="shared" si="191"/>
        <v>45109</v>
      </c>
      <c r="AJ18" s="396">
        <f t="shared" si="191"/>
        <v>45140</v>
      </c>
      <c r="AK18" s="396">
        <f t="shared" si="191"/>
        <v>45171</v>
      </c>
      <c r="AL18" s="396">
        <f t="shared" si="191"/>
        <v>45201</v>
      </c>
      <c r="AM18" s="396">
        <f t="shared" si="191"/>
        <v>45232</v>
      </c>
      <c r="AN18" s="396">
        <f t="shared" si="191"/>
        <v>45262</v>
      </c>
      <c r="AO18" s="396">
        <f t="shared" si="191"/>
        <v>45293</v>
      </c>
      <c r="AP18" s="396">
        <f t="shared" si="191"/>
        <v>45324</v>
      </c>
      <c r="AQ18" s="396">
        <f t="shared" si="191"/>
        <v>45353</v>
      </c>
      <c r="AR18" s="396">
        <f t="shared" si="191"/>
        <v>45384</v>
      </c>
      <c r="AS18" s="396">
        <f t="shared" si="191"/>
        <v>45414</v>
      </c>
      <c r="AT18" s="396">
        <f t="shared" si="191"/>
        <v>45445</v>
      </c>
      <c r="AU18" s="396">
        <f t="shared" si="191"/>
        <v>45475</v>
      </c>
      <c r="AV18" s="396">
        <f t="shared" si="191"/>
        <v>45506</v>
      </c>
      <c r="AW18" s="396">
        <f t="shared" si="191"/>
        <v>45537</v>
      </c>
      <c r="AX18" s="396">
        <f t="shared" si="191"/>
        <v>45567</v>
      </c>
      <c r="AY18" s="396">
        <f t="shared" si="191"/>
        <v>45598</v>
      </c>
      <c r="AZ18" s="396">
        <f t="shared" si="191"/>
        <v>45628</v>
      </c>
      <c r="BA18" s="396">
        <f t="shared" si="191"/>
        <v>45659</v>
      </c>
      <c r="BB18" s="396">
        <f t="shared" si="191"/>
        <v>45690</v>
      </c>
      <c r="BC18" s="396">
        <f t="shared" si="191"/>
        <v>45718</v>
      </c>
      <c r="BD18" s="396">
        <f t="shared" si="191"/>
        <v>45749</v>
      </c>
      <c r="BE18" s="396">
        <f t="shared" si="191"/>
        <v>45779</v>
      </c>
      <c r="BF18" s="396">
        <f t="shared" si="191"/>
        <v>45810</v>
      </c>
      <c r="BG18" s="396">
        <f t="shared" si="191"/>
        <v>45840</v>
      </c>
      <c r="BH18" s="396">
        <f t="shared" si="191"/>
        <v>45871</v>
      </c>
      <c r="BI18" s="396">
        <f t="shared" si="191"/>
        <v>45902</v>
      </c>
      <c r="BJ18" s="396">
        <f t="shared" si="191"/>
        <v>45932</v>
      </c>
      <c r="BK18" s="396">
        <f t="shared" si="191"/>
        <v>45963</v>
      </c>
      <c r="BL18" s="396">
        <f t="shared" si="191"/>
        <v>45993</v>
      </c>
      <c r="BM18" s="396">
        <f t="shared" si="191"/>
        <v>46024</v>
      </c>
      <c r="BN18" s="396">
        <f t="shared" si="191"/>
        <v>46055</v>
      </c>
      <c r="BO18" s="396">
        <f t="shared" ref="BO18:BX18" si="192">BO9</f>
        <v>46083</v>
      </c>
      <c r="BP18" s="396">
        <f t="shared" si="192"/>
        <v>46114</v>
      </c>
      <c r="BQ18" s="396">
        <f t="shared" si="192"/>
        <v>46144</v>
      </c>
      <c r="BR18" s="396">
        <f t="shared" si="192"/>
        <v>46175</v>
      </c>
      <c r="BS18" s="396">
        <f t="shared" si="192"/>
        <v>46205</v>
      </c>
      <c r="BT18" s="396">
        <f t="shared" si="192"/>
        <v>46236</v>
      </c>
      <c r="BU18" s="396">
        <f t="shared" si="192"/>
        <v>46267</v>
      </c>
      <c r="BV18" s="396">
        <f t="shared" si="192"/>
        <v>46297</v>
      </c>
      <c r="BW18" s="396">
        <f t="shared" si="192"/>
        <v>46328</v>
      </c>
      <c r="BX18" s="396">
        <f t="shared" si="192"/>
        <v>46358</v>
      </c>
    </row>
    <row r="19" spans="1:76" x14ac:dyDescent="0.25">
      <c r="A19" s="456"/>
      <c r="B19" s="448">
        <v>0</v>
      </c>
      <c r="C19" s="448">
        <v>1</v>
      </c>
      <c r="D19" s="448">
        <v>2</v>
      </c>
      <c r="E19" s="448">
        <v>3</v>
      </c>
      <c r="F19" s="448">
        <v>4</v>
      </c>
      <c r="G19" s="448">
        <v>5</v>
      </c>
      <c r="H19" s="448">
        <v>6</v>
      </c>
      <c r="I19" s="448">
        <v>7</v>
      </c>
      <c r="J19" s="448">
        <v>8</v>
      </c>
      <c r="K19" s="448">
        <v>9</v>
      </c>
      <c r="L19" s="448">
        <v>10</v>
      </c>
      <c r="M19" s="448">
        <v>11</v>
      </c>
      <c r="N19" s="448">
        <v>12</v>
      </c>
      <c r="O19" s="448">
        <v>13</v>
      </c>
      <c r="P19" s="448">
        <v>14</v>
      </c>
      <c r="Q19" s="448">
        <v>15</v>
      </c>
      <c r="R19" s="448">
        <v>16</v>
      </c>
      <c r="S19" s="448">
        <v>17</v>
      </c>
      <c r="T19" s="448">
        <v>18</v>
      </c>
      <c r="U19" s="448">
        <v>19</v>
      </c>
      <c r="V19" s="448">
        <v>20</v>
      </c>
      <c r="W19" s="448">
        <v>21</v>
      </c>
      <c r="X19" s="448">
        <v>22</v>
      </c>
      <c r="Y19" s="448">
        <v>23</v>
      </c>
      <c r="Z19" s="448">
        <v>24</v>
      </c>
      <c r="AA19" s="448">
        <v>25</v>
      </c>
      <c r="AB19" s="448">
        <v>26</v>
      </c>
      <c r="AC19" s="448">
        <v>27</v>
      </c>
      <c r="AD19" s="448">
        <v>28</v>
      </c>
      <c r="AE19" s="448">
        <v>29</v>
      </c>
      <c r="AF19" s="448">
        <v>30</v>
      </c>
      <c r="AG19" s="448">
        <v>31</v>
      </c>
      <c r="AH19" s="448">
        <v>32</v>
      </c>
      <c r="AI19" s="448">
        <v>33</v>
      </c>
      <c r="AJ19" s="448">
        <v>34</v>
      </c>
      <c r="AK19" s="448">
        <v>35</v>
      </c>
      <c r="AL19" s="448">
        <v>36</v>
      </c>
      <c r="AM19" s="448">
        <v>37</v>
      </c>
      <c r="AN19" s="448">
        <v>38</v>
      </c>
      <c r="AO19" s="448">
        <v>39</v>
      </c>
      <c r="AP19" s="448">
        <v>40</v>
      </c>
      <c r="AQ19" s="448">
        <v>41</v>
      </c>
      <c r="AR19" s="448">
        <v>42</v>
      </c>
      <c r="AS19" s="448">
        <v>43</v>
      </c>
      <c r="AT19" s="448">
        <v>44</v>
      </c>
      <c r="AU19" s="448">
        <v>45</v>
      </c>
      <c r="AV19" s="448">
        <v>46</v>
      </c>
      <c r="AW19" s="448">
        <v>47</v>
      </c>
      <c r="AX19" s="448">
        <v>48</v>
      </c>
      <c r="AY19" s="448">
        <v>49</v>
      </c>
      <c r="AZ19" s="448">
        <v>50</v>
      </c>
      <c r="BA19" s="448">
        <v>51</v>
      </c>
      <c r="BB19" s="448">
        <v>52</v>
      </c>
      <c r="BC19" s="448">
        <v>53</v>
      </c>
      <c r="BD19" s="448">
        <v>54</v>
      </c>
      <c r="BE19" s="448">
        <v>55</v>
      </c>
      <c r="BF19" s="448">
        <v>56</v>
      </c>
      <c r="BG19" s="448">
        <v>57</v>
      </c>
      <c r="BH19" s="448">
        <v>58</v>
      </c>
      <c r="BI19" s="448">
        <v>59</v>
      </c>
      <c r="BJ19" s="448">
        <v>60</v>
      </c>
      <c r="BK19" s="448">
        <v>61</v>
      </c>
      <c r="BL19" s="448">
        <v>62</v>
      </c>
      <c r="BM19" s="448">
        <v>63</v>
      </c>
      <c r="BN19" s="448">
        <v>64</v>
      </c>
      <c r="BO19" s="448">
        <v>65</v>
      </c>
      <c r="BP19" s="448">
        <v>66</v>
      </c>
      <c r="BQ19" s="448">
        <v>67</v>
      </c>
      <c r="BR19" s="448">
        <v>68</v>
      </c>
      <c r="BS19" s="448">
        <v>69</v>
      </c>
      <c r="BT19" s="448">
        <v>70</v>
      </c>
      <c r="BU19" s="448">
        <v>71</v>
      </c>
      <c r="BV19" s="448">
        <v>72</v>
      </c>
      <c r="BW19" s="448">
        <v>73</v>
      </c>
      <c r="BX19" s="448">
        <v>74</v>
      </c>
    </row>
    <row r="20" spans="1:76" s="16" customFormat="1" x14ac:dyDescent="0.25">
      <c r="A20" s="458" t="s">
        <v>669</v>
      </c>
      <c r="B20" s="459">
        <f>SUM(B21:B22)</f>
        <v>0</v>
      </c>
      <c r="C20" s="459">
        <f t="shared" ref="C20:BN20" si="193">SUM(C21:C22)</f>
        <v>0</v>
      </c>
      <c r="D20" s="459">
        <f t="shared" si="193"/>
        <v>0</v>
      </c>
      <c r="E20" s="459">
        <f t="shared" si="193"/>
        <v>0</v>
      </c>
      <c r="F20" s="459">
        <f t="shared" si="193"/>
        <v>0</v>
      </c>
      <c r="G20" s="459">
        <f t="shared" si="193"/>
        <v>0</v>
      </c>
      <c r="H20" s="459">
        <f t="shared" si="193"/>
        <v>0</v>
      </c>
      <c r="I20" s="459">
        <f t="shared" si="193"/>
        <v>0</v>
      </c>
      <c r="J20" s="459">
        <f t="shared" si="193"/>
        <v>0</v>
      </c>
      <c r="K20" s="459">
        <f t="shared" si="193"/>
        <v>0</v>
      </c>
      <c r="L20" s="459">
        <f t="shared" si="193"/>
        <v>0</v>
      </c>
      <c r="M20" s="459">
        <f t="shared" si="193"/>
        <v>0</v>
      </c>
      <c r="N20" s="459">
        <f t="shared" si="193"/>
        <v>0</v>
      </c>
      <c r="O20" s="459">
        <f t="shared" si="193"/>
        <v>0</v>
      </c>
      <c r="P20" s="459">
        <f t="shared" si="193"/>
        <v>0</v>
      </c>
      <c r="Q20" s="459">
        <f t="shared" si="193"/>
        <v>2641.49719</v>
      </c>
      <c r="R20" s="459">
        <f t="shared" si="193"/>
        <v>103.97318</v>
      </c>
      <c r="S20" s="459">
        <f t="shared" si="193"/>
        <v>91.540629999999993</v>
      </c>
      <c r="T20" s="459">
        <f t="shared" si="193"/>
        <v>98.723939999999999</v>
      </c>
      <c r="U20" s="459">
        <f t="shared" si="193"/>
        <v>92.999339999999989</v>
      </c>
      <c r="V20" s="459">
        <f t="shared" si="193"/>
        <v>93.474700000000013</v>
      </c>
      <c r="W20" s="459">
        <f t="shared" si="193"/>
        <v>87.919420000000002</v>
      </c>
      <c r="X20" s="459">
        <f t="shared" si="193"/>
        <v>88.225449999999995</v>
      </c>
      <c r="Y20" s="459">
        <f t="shared" si="193"/>
        <v>85.600830000000002</v>
      </c>
      <c r="Z20" s="459">
        <f t="shared" si="193"/>
        <v>80.299549999999996</v>
      </c>
      <c r="AA20" s="459">
        <f t="shared" si="193"/>
        <v>80.351590000000002</v>
      </c>
      <c r="AB20" s="459">
        <f t="shared" si="193"/>
        <v>75.219639999999998</v>
      </c>
      <c r="AC20" s="459">
        <f t="shared" si="193"/>
        <v>75.102339999999998</v>
      </c>
      <c r="AD20" s="459">
        <f t="shared" si="193"/>
        <v>72.477720000000005</v>
      </c>
      <c r="AE20" s="459">
        <f t="shared" si="193"/>
        <v>63.093119999999999</v>
      </c>
      <c r="AF20" s="459">
        <f t="shared" si="193"/>
        <v>67.228470000000002</v>
      </c>
      <c r="AG20" s="459">
        <f t="shared" si="193"/>
        <v>62.519850000000005</v>
      </c>
      <c r="AH20" s="459">
        <f t="shared" si="193"/>
        <v>61.979230000000001</v>
      </c>
      <c r="AI20" s="459">
        <f t="shared" si="193"/>
        <v>57.439939999999993</v>
      </c>
      <c r="AJ20" s="459">
        <f t="shared" si="193"/>
        <v>56.729990000000001</v>
      </c>
      <c r="AK20" s="459">
        <f t="shared" si="193"/>
        <v>54.105360000000005</v>
      </c>
      <c r="AL20" s="459">
        <f t="shared" si="193"/>
        <v>49.820070000000001</v>
      </c>
      <c r="AM20" s="459">
        <f t="shared" si="193"/>
        <v>48.856120000000004</v>
      </c>
      <c r="AN20" s="459">
        <f t="shared" si="193"/>
        <v>44.740160000000003</v>
      </c>
      <c r="AO20" s="459">
        <f t="shared" si="193"/>
        <v>43.568440000000002</v>
      </c>
      <c r="AP20" s="459">
        <f t="shared" si="193"/>
        <v>40.870280000000001</v>
      </c>
      <c r="AQ20" s="459">
        <f t="shared" si="193"/>
        <v>35.7849</v>
      </c>
      <c r="AR20" s="459">
        <f t="shared" si="193"/>
        <v>35.635379999999998</v>
      </c>
      <c r="AS20" s="459">
        <f t="shared" si="193"/>
        <v>31.952829999999999</v>
      </c>
      <c r="AT20" s="459">
        <f t="shared" si="193"/>
        <v>30.400469999999999</v>
      </c>
      <c r="AU20" s="459">
        <f t="shared" si="193"/>
        <v>26.886789999999998</v>
      </c>
      <c r="AV20" s="459">
        <f t="shared" si="193"/>
        <v>25.165570000000002</v>
      </c>
      <c r="AW20" s="459">
        <f t="shared" si="193"/>
        <v>22.548119999999997</v>
      </c>
      <c r="AX20" s="459">
        <f t="shared" si="193"/>
        <v>19.287739999999999</v>
      </c>
      <c r="AY20" s="459">
        <f t="shared" si="193"/>
        <v>17.313220000000001</v>
      </c>
      <c r="AZ20" s="459">
        <f t="shared" si="193"/>
        <v>14.52383</v>
      </c>
      <c r="BA20" s="459">
        <f t="shared" si="193"/>
        <v>11.04744</v>
      </c>
      <c r="BB20" s="459">
        <f t="shared" si="193"/>
        <v>9.4867900000000009</v>
      </c>
      <c r="BC20" s="459">
        <f t="shared" si="193"/>
        <v>7.1405900000000004</v>
      </c>
      <c r="BD20" s="459">
        <f t="shared" si="193"/>
        <v>6.3245200000000006</v>
      </c>
      <c r="BE20" s="459">
        <f t="shared" si="193"/>
        <v>4.5903799999999997</v>
      </c>
      <c r="BF20" s="459">
        <f t="shared" si="193"/>
        <v>3.1622600000000003</v>
      </c>
      <c r="BG20" s="459">
        <f t="shared" si="193"/>
        <v>1.4281199999999998</v>
      </c>
      <c r="BH20" s="459">
        <f t="shared" si="193"/>
        <v>0</v>
      </c>
      <c r="BI20" s="459">
        <f t="shared" si="193"/>
        <v>0</v>
      </c>
      <c r="BJ20" s="459">
        <f t="shared" si="193"/>
        <v>0</v>
      </c>
      <c r="BK20" s="459">
        <f t="shared" si="193"/>
        <v>0</v>
      </c>
      <c r="BL20" s="459">
        <f t="shared" si="193"/>
        <v>0</v>
      </c>
      <c r="BM20" s="459">
        <f t="shared" si="193"/>
        <v>0</v>
      </c>
      <c r="BN20" s="459">
        <f t="shared" si="193"/>
        <v>0</v>
      </c>
      <c r="BO20" s="459">
        <f t="shared" ref="BO20:BX20" si="194">SUM(BO21:BO22)</f>
        <v>0</v>
      </c>
      <c r="BP20" s="459">
        <f t="shared" si="194"/>
        <v>0</v>
      </c>
      <c r="BQ20" s="459">
        <f t="shared" si="194"/>
        <v>0</v>
      </c>
      <c r="BR20" s="459">
        <f t="shared" si="194"/>
        <v>0</v>
      </c>
      <c r="BS20" s="459">
        <f t="shared" si="194"/>
        <v>0</v>
      </c>
      <c r="BT20" s="459">
        <f t="shared" si="194"/>
        <v>0</v>
      </c>
      <c r="BU20" s="459">
        <f t="shared" si="194"/>
        <v>0</v>
      </c>
      <c r="BV20" s="459">
        <f t="shared" si="194"/>
        <v>0</v>
      </c>
      <c r="BW20" s="459">
        <f t="shared" si="194"/>
        <v>0</v>
      </c>
      <c r="BX20" s="459">
        <f t="shared" si="194"/>
        <v>0</v>
      </c>
    </row>
    <row r="21" spans="1:76" x14ac:dyDescent="0.25">
      <c r="A21" s="457" t="s">
        <v>678</v>
      </c>
      <c r="B21" s="151">
        <v>0</v>
      </c>
      <c r="C21" s="151">
        <v>0</v>
      </c>
      <c r="D21" s="151">
        <v>0</v>
      </c>
      <c r="E21" s="151">
        <v>0</v>
      </c>
      <c r="F21" s="151">
        <v>0</v>
      </c>
      <c r="G21" s="151">
        <v>0</v>
      </c>
      <c r="H21" s="151">
        <v>0</v>
      </c>
      <c r="I21" s="151">
        <v>0</v>
      </c>
      <c r="J21" s="151">
        <v>0</v>
      </c>
      <c r="K21" s="151">
        <v>0</v>
      </c>
      <c r="L21" s="151">
        <v>0</v>
      </c>
      <c r="M21" s="151">
        <v>0</v>
      </c>
      <c r="N21" s="151">
        <v>0</v>
      </c>
      <c r="O21" s="151">
        <v>0</v>
      </c>
      <c r="P21" s="151">
        <v>0</v>
      </c>
      <c r="Q21" s="151">
        <v>720.42555000000004</v>
      </c>
      <c r="R21" s="151">
        <v>37.56568</v>
      </c>
      <c r="S21" s="151">
        <v>32.987780000000001</v>
      </c>
      <c r="T21" s="151">
        <v>35.478699999999996</v>
      </c>
      <c r="U21" s="151">
        <v>33.324390000000001</v>
      </c>
      <c r="V21" s="151">
        <v>33.391719999999999</v>
      </c>
      <c r="W21" s="151">
        <v>31.304729999999999</v>
      </c>
      <c r="X21" s="151">
        <v>31.304729999999999</v>
      </c>
      <c r="Y21" s="151">
        <v>30.261240000000001</v>
      </c>
      <c r="Z21" s="151">
        <v>28.27524</v>
      </c>
      <c r="AA21" s="151">
        <v>28.174259999999997</v>
      </c>
      <c r="AB21" s="151">
        <v>26.255580000000002</v>
      </c>
      <c r="AC21" s="151">
        <v>26.08728</v>
      </c>
      <c r="AD21" s="151">
        <v>25.043790000000001</v>
      </c>
      <c r="AE21" s="151">
        <v>21.677689999999998</v>
      </c>
      <c r="AF21" s="151">
        <v>22.956799999999998</v>
      </c>
      <c r="AG21" s="151">
        <v>21.206430000000001</v>
      </c>
      <c r="AH21" s="151">
        <v>20.869820000000001</v>
      </c>
      <c r="AI21" s="151">
        <v>19.186769999999999</v>
      </c>
      <c r="AJ21" s="151">
        <v>18.78284</v>
      </c>
      <c r="AK21" s="151">
        <v>17.739349999999998</v>
      </c>
      <c r="AL21" s="151">
        <v>16.15728</v>
      </c>
      <c r="AM21" s="151">
        <v>15.652370000000001</v>
      </c>
      <c r="AN21" s="151">
        <v>14.13762</v>
      </c>
      <c r="AO21" s="151">
        <v>13.553420000000001</v>
      </c>
      <c r="AP21" s="151">
        <v>12.487680000000001</v>
      </c>
      <c r="AQ21" s="151">
        <v>10.70852</v>
      </c>
      <c r="AR21" s="151">
        <v>10.4064</v>
      </c>
      <c r="AS21" s="151">
        <v>9.0636399999999995</v>
      </c>
      <c r="AT21" s="151">
        <v>8.3251200000000001</v>
      </c>
      <c r="AU21" s="151">
        <v>7.0494899999999996</v>
      </c>
      <c r="AV21" s="151">
        <v>6.2438400000000005</v>
      </c>
      <c r="AW21" s="151">
        <v>5.2031999999999998</v>
      </c>
      <c r="AX21" s="151">
        <v>4.0282800000000005</v>
      </c>
      <c r="AY21" s="151">
        <v>3.1219200000000003</v>
      </c>
      <c r="AZ21" s="151">
        <v>2.3162600000000002</v>
      </c>
      <c r="BA21" s="151">
        <v>0</v>
      </c>
      <c r="BB21" s="151">
        <v>0</v>
      </c>
      <c r="BC21" s="151">
        <v>0</v>
      </c>
      <c r="BD21" s="151">
        <v>0</v>
      </c>
      <c r="BE21" s="151">
        <v>0</v>
      </c>
      <c r="BF21" s="151">
        <v>0</v>
      </c>
      <c r="BG21" s="151">
        <v>0</v>
      </c>
      <c r="BH21" s="151">
        <v>0</v>
      </c>
      <c r="BI21" s="151">
        <v>0</v>
      </c>
      <c r="BJ21" s="151">
        <v>0</v>
      </c>
      <c r="BK21" s="151">
        <v>0</v>
      </c>
      <c r="BL21" s="151">
        <v>0</v>
      </c>
      <c r="BM21" s="151">
        <v>0</v>
      </c>
      <c r="BN21" s="151">
        <v>0</v>
      </c>
      <c r="BO21" s="151">
        <v>0</v>
      </c>
      <c r="BP21" s="151">
        <v>0</v>
      </c>
      <c r="BQ21" s="151">
        <v>0</v>
      </c>
      <c r="BR21" s="151">
        <v>0</v>
      </c>
      <c r="BS21" s="151">
        <v>0</v>
      </c>
      <c r="BT21" s="151">
        <v>0</v>
      </c>
      <c r="BU21" s="151">
        <v>0</v>
      </c>
      <c r="BV21" s="151">
        <v>0</v>
      </c>
      <c r="BW21" s="151">
        <v>0</v>
      </c>
      <c r="BX21" s="151">
        <v>0</v>
      </c>
    </row>
    <row r="22" spans="1:76" x14ac:dyDescent="0.25">
      <c r="A22" s="457" t="s">
        <v>679</v>
      </c>
      <c r="B22" s="151">
        <v>0</v>
      </c>
      <c r="C22" s="151">
        <v>0</v>
      </c>
      <c r="D22" s="151">
        <v>0</v>
      </c>
      <c r="E22" s="151">
        <v>0</v>
      </c>
      <c r="F22" s="151">
        <v>0</v>
      </c>
      <c r="G22" s="151">
        <v>0</v>
      </c>
      <c r="H22" s="151">
        <v>0</v>
      </c>
      <c r="I22" s="151">
        <v>0</v>
      </c>
      <c r="J22" s="151">
        <v>0</v>
      </c>
      <c r="K22" s="151">
        <v>0</v>
      </c>
      <c r="L22" s="151">
        <v>0</v>
      </c>
      <c r="M22" s="151">
        <v>0</v>
      </c>
      <c r="N22" s="151">
        <v>0</v>
      </c>
      <c r="O22" s="151">
        <v>0</v>
      </c>
      <c r="P22" s="151">
        <v>0</v>
      </c>
      <c r="Q22" s="151">
        <v>1921.0716399999999</v>
      </c>
      <c r="R22" s="151">
        <v>66.407499999999999</v>
      </c>
      <c r="S22" s="151">
        <v>58.552849999999999</v>
      </c>
      <c r="T22" s="151">
        <v>63.245239999999995</v>
      </c>
      <c r="U22" s="151">
        <v>59.674949999999995</v>
      </c>
      <c r="V22" s="151">
        <v>60.082980000000006</v>
      </c>
      <c r="W22" s="151">
        <v>56.614690000000003</v>
      </c>
      <c r="X22" s="151">
        <v>56.920720000000003</v>
      </c>
      <c r="Y22" s="151">
        <v>55.339589999999994</v>
      </c>
      <c r="Z22" s="151">
        <v>52.02431</v>
      </c>
      <c r="AA22" s="151">
        <v>52.177330000000005</v>
      </c>
      <c r="AB22" s="151">
        <v>48.964059999999996</v>
      </c>
      <c r="AC22" s="151">
        <v>49.015059999999998</v>
      </c>
      <c r="AD22" s="151">
        <v>47.433930000000004</v>
      </c>
      <c r="AE22" s="151">
        <v>41.415430000000001</v>
      </c>
      <c r="AF22" s="151">
        <v>44.27167</v>
      </c>
      <c r="AG22" s="151">
        <v>41.313420000000001</v>
      </c>
      <c r="AH22" s="151">
        <v>41.109410000000004</v>
      </c>
      <c r="AI22" s="151">
        <v>38.253169999999997</v>
      </c>
      <c r="AJ22" s="151">
        <v>37.947150000000001</v>
      </c>
      <c r="AK22" s="151">
        <v>36.366010000000003</v>
      </c>
      <c r="AL22" s="151">
        <v>33.662790000000001</v>
      </c>
      <c r="AM22" s="151">
        <v>33.203749999999999</v>
      </c>
      <c r="AN22" s="151">
        <v>30.602540000000001</v>
      </c>
      <c r="AO22" s="151">
        <v>30.01502</v>
      </c>
      <c r="AP22" s="151">
        <v>28.3826</v>
      </c>
      <c r="AQ22" s="151">
        <v>25.07638</v>
      </c>
      <c r="AR22" s="151">
        <v>25.22898</v>
      </c>
      <c r="AS22" s="151">
        <v>22.889189999999999</v>
      </c>
      <c r="AT22" s="151">
        <v>22.07535</v>
      </c>
      <c r="AU22" s="151">
        <v>19.837299999999999</v>
      </c>
      <c r="AV22" s="151">
        <v>18.92173</v>
      </c>
      <c r="AW22" s="151">
        <v>17.344919999999998</v>
      </c>
      <c r="AX22" s="151">
        <v>15.259459999999999</v>
      </c>
      <c r="AY22" s="151">
        <v>14.1913</v>
      </c>
      <c r="AZ22" s="151">
        <v>12.20757</v>
      </c>
      <c r="BA22" s="151">
        <v>11.04744</v>
      </c>
      <c r="BB22" s="151">
        <v>9.4867900000000009</v>
      </c>
      <c r="BC22" s="151">
        <v>7.1405900000000004</v>
      </c>
      <c r="BD22" s="151">
        <v>6.3245200000000006</v>
      </c>
      <c r="BE22" s="151">
        <v>4.5903799999999997</v>
      </c>
      <c r="BF22" s="151">
        <v>3.1622600000000003</v>
      </c>
      <c r="BG22" s="151">
        <v>1.4281199999999998</v>
      </c>
      <c r="BH22" s="151">
        <v>0</v>
      </c>
      <c r="BI22" s="151">
        <v>0</v>
      </c>
      <c r="BJ22" s="151">
        <v>0</v>
      </c>
      <c r="BK22" s="151">
        <v>0</v>
      </c>
      <c r="BL22" s="151">
        <v>0</v>
      </c>
      <c r="BM22" s="151">
        <v>0</v>
      </c>
      <c r="BN22" s="151">
        <v>0</v>
      </c>
      <c r="BO22" s="151">
        <v>0</v>
      </c>
      <c r="BP22" s="151">
        <v>0</v>
      </c>
      <c r="BQ22" s="151">
        <v>0</v>
      </c>
      <c r="BR22" s="151">
        <v>0</v>
      </c>
      <c r="BS22" s="151">
        <v>0</v>
      </c>
      <c r="BT22" s="151">
        <v>0</v>
      </c>
      <c r="BU22" s="151">
        <v>0</v>
      </c>
      <c r="BV22" s="151">
        <v>0</v>
      </c>
      <c r="BW22" s="151">
        <v>0</v>
      </c>
      <c r="BX22" s="151">
        <v>0</v>
      </c>
    </row>
    <row r="23" spans="1:76" s="16" customFormat="1" x14ac:dyDescent="0.25">
      <c r="A23" s="460" t="s">
        <v>69</v>
      </c>
      <c r="B23" s="459">
        <f>SUM(B24:B25)</f>
        <v>0</v>
      </c>
      <c r="C23" s="459">
        <f t="shared" ref="C23:BN23" si="195">SUM(C24:C25)</f>
        <v>0</v>
      </c>
      <c r="D23" s="459">
        <f t="shared" si="195"/>
        <v>0</v>
      </c>
      <c r="E23" s="459">
        <f t="shared" si="195"/>
        <v>0</v>
      </c>
      <c r="F23" s="459">
        <f t="shared" si="195"/>
        <v>0</v>
      </c>
      <c r="G23" s="459">
        <f t="shared" si="195"/>
        <v>0</v>
      </c>
      <c r="H23" s="459">
        <f t="shared" si="195"/>
        <v>0</v>
      </c>
      <c r="I23" s="459">
        <f t="shared" si="195"/>
        <v>0</v>
      </c>
      <c r="J23" s="459">
        <f t="shared" si="195"/>
        <v>0</v>
      </c>
      <c r="K23" s="459">
        <f t="shared" si="195"/>
        <v>0</v>
      </c>
      <c r="L23" s="459">
        <f t="shared" si="195"/>
        <v>0</v>
      </c>
      <c r="M23" s="459">
        <f t="shared" si="195"/>
        <v>0</v>
      </c>
      <c r="N23" s="459">
        <f t="shared" si="195"/>
        <v>0</v>
      </c>
      <c r="O23" s="459">
        <f t="shared" si="195"/>
        <v>0</v>
      </c>
      <c r="P23" s="459">
        <f t="shared" si="195"/>
        <v>0</v>
      </c>
      <c r="Q23" s="459">
        <f t="shared" si="195"/>
        <v>468.22441000000003</v>
      </c>
      <c r="R23" s="459">
        <f t="shared" si="195"/>
        <v>468.22441000000003</v>
      </c>
      <c r="S23" s="459">
        <f t="shared" si="195"/>
        <v>468.22441000000003</v>
      </c>
      <c r="T23" s="459">
        <f t="shared" si="195"/>
        <v>468.22441000000003</v>
      </c>
      <c r="U23" s="459">
        <f t="shared" si="195"/>
        <v>468.22441000000003</v>
      </c>
      <c r="V23" s="459">
        <f t="shared" si="195"/>
        <v>468.22441000000003</v>
      </c>
      <c r="W23" s="459">
        <f t="shared" si="195"/>
        <v>468.22441000000003</v>
      </c>
      <c r="X23" s="459">
        <f t="shared" si="195"/>
        <v>468.22441000000003</v>
      </c>
      <c r="Y23" s="459">
        <f t="shared" si="195"/>
        <v>468.22441000000003</v>
      </c>
      <c r="Z23" s="459">
        <f t="shared" si="195"/>
        <v>468.22441000000003</v>
      </c>
      <c r="AA23" s="459">
        <f t="shared" si="195"/>
        <v>468.22441000000003</v>
      </c>
      <c r="AB23" s="459">
        <f t="shared" si="195"/>
        <v>468.22441000000003</v>
      </c>
      <c r="AC23" s="459">
        <f t="shared" si="195"/>
        <v>468.22441000000003</v>
      </c>
      <c r="AD23" s="459">
        <f t="shared" si="195"/>
        <v>468.22441000000003</v>
      </c>
      <c r="AE23" s="459">
        <f t="shared" si="195"/>
        <v>468.22441000000003</v>
      </c>
      <c r="AF23" s="459">
        <f t="shared" si="195"/>
        <v>468.22441000000003</v>
      </c>
      <c r="AG23" s="459">
        <f t="shared" si="195"/>
        <v>468.22441000000003</v>
      </c>
      <c r="AH23" s="459">
        <f t="shared" si="195"/>
        <v>468.22441000000003</v>
      </c>
      <c r="AI23" s="459">
        <f t="shared" si="195"/>
        <v>468.22441000000003</v>
      </c>
      <c r="AJ23" s="459">
        <f t="shared" si="195"/>
        <v>468.22441000000003</v>
      </c>
      <c r="AK23" s="459">
        <f t="shared" si="195"/>
        <v>468.22441000000003</v>
      </c>
      <c r="AL23" s="459">
        <f t="shared" si="195"/>
        <v>468.22441000000003</v>
      </c>
      <c r="AM23" s="459">
        <f t="shared" si="195"/>
        <v>468.22441000000003</v>
      </c>
      <c r="AN23" s="459">
        <f t="shared" si="195"/>
        <v>468.22441000000003</v>
      </c>
      <c r="AO23" s="459">
        <f t="shared" si="195"/>
        <v>468.22441000000003</v>
      </c>
      <c r="AP23" s="459">
        <f t="shared" si="195"/>
        <v>468.22441000000003</v>
      </c>
      <c r="AQ23" s="459">
        <f t="shared" si="195"/>
        <v>468.22441000000003</v>
      </c>
      <c r="AR23" s="459">
        <f t="shared" si="195"/>
        <v>468.22441000000003</v>
      </c>
      <c r="AS23" s="459">
        <f t="shared" si="195"/>
        <v>468.22441000000003</v>
      </c>
      <c r="AT23" s="459">
        <f t="shared" si="195"/>
        <v>468.22441000000003</v>
      </c>
      <c r="AU23" s="459">
        <f t="shared" si="195"/>
        <v>468.22441000000003</v>
      </c>
      <c r="AV23" s="459">
        <f t="shared" si="195"/>
        <v>468.22441000000003</v>
      </c>
      <c r="AW23" s="459">
        <f t="shared" si="195"/>
        <v>468.22441000000003</v>
      </c>
      <c r="AX23" s="459">
        <f t="shared" si="195"/>
        <v>468.22441000000003</v>
      </c>
      <c r="AY23" s="459">
        <f t="shared" si="195"/>
        <v>468.22441000000003</v>
      </c>
      <c r="AZ23" s="459">
        <f t="shared" si="195"/>
        <v>654.37988999999993</v>
      </c>
      <c r="BA23" s="459">
        <f t="shared" si="195"/>
        <v>282.06884000000002</v>
      </c>
      <c r="BB23" s="459">
        <f t="shared" si="195"/>
        <v>282.06884000000002</v>
      </c>
      <c r="BC23" s="459">
        <f t="shared" si="195"/>
        <v>282.06884000000002</v>
      </c>
      <c r="BD23" s="459">
        <f t="shared" si="195"/>
        <v>282.06884000000002</v>
      </c>
      <c r="BE23" s="459">
        <f t="shared" si="195"/>
        <v>282.06884000000002</v>
      </c>
      <c r="BF23" s="459">
        <f t="shared" si="195"/>
        <v>282.06884000000002</v>
      </c>
      <c r="BG23" s="459">
        <f t="shared" si="195"/>
        <v>282.06871999999998</v>
      </c>
      <c r="BH23" s="459">
        <f t="shared" si="195"/>
        <v>0</v>
      </c>
      <c r="BI23" s="459">
        <f t="shared" si="195"/>
        <v>0</v>
      </c>
      <c r="BJ23" s="459">
        <f t="shared" si="195"/>
        <v>0</v>
      </c>
      <c r="BK23" s="459">
        <f t="shared" si="195"/>
        <v>0</v>
      </c>
      <c r="BL23" s="459">
        <f t="shared" si="195"/>
        <v>0</v>
      </c>
      <c r="BM23" s="459">
        <f t="shared" si="195"/>
        <v>0</v>
      </c>
      <c r="BN23" s="459">
        <f t="shared" si="195"/>
        <v>0</v>
      </c>
      <c r="BO23" s="459">
        <f t="shared" ref="BO23:BX23" si="196">SUM(BO24:BO25)</f>
        <v>0</v>
      </c>
      <c r="BP23" s="459">
        <f t="shared" si="196"/>
        <v>0</v>
      </c>
      <c r="BQ23" s="459">
        <f t="shared" si="196"/>
        <v>0</v>
      </c>
      <c r="BR23" s="459">
        <f t="shared" si="196"/>
        <v>0</v>
      </c>
      <c r="BS23" s="459">
        <f t="shared" si="196"/>
        <v>0</v>
      </c>
      <c r="BT23" s="459">
        <f t="shared" si="196"/>
        <v>0</v>
      </c>
      <c r="BU23" s="459">
        <f t="shared" si="196"/>
        <v>0</v>
      </c>
      <c r="BV23" s="459">
        <f t="shared" si="196"/>
        <v>0</v>
      </c>
      <c r="BW23" s="459">
        <f t="shared" si="196"/>
        <v>0</v>
      </c>
      <c r="BX23" s="459">
        <f t="shared" si="196"/>
        <v>0</v>
      </c>
    </row>
    <row r="24" spans="1:76" x14ac:dyDescent="0.25">
      <c r="A24" s="457" t="s">
        <v>678</v>
      </c>
      <c r="B24" s="151">
        <v>0</v>
      </c>
      <c r="C24" s="151">
        <v>0</v>
      </c>
      <c r="D24" s="151">
        <v>0</v>
      </c>
      <c r="E24" s="151">
        <v>0</v>
      </c>
      <c r="F24" s="151">
        <v>0</v>
      </c>
      <c r="G24" s="151">
        <v>0</v>
      </c>
      <c r="H24" s="151">
        <v>0</v>
      </c>
      <c r="I24" s="151">
        <v>0</v>
      </c>
      <c r="J24" s="151">
        <v>0</v>
      </c>
      <c r="K24" s="151">
        <v>0</v>
      </c>
      <c r="L24" s="151">
        <v>0</v>
      </c>
      <c r="M24" s="151">
        <v>0</v>
      </c>
      <c r="N24" s="151">
        <v>0</v>
      </c>
      <c r="O24" s="151">
        <v>0</v>
      </c>
      <c r="P24" s="151">
        <v>0</v>
      </c>
      <c r="Q24" s="151">
        <v>186.15557000000001</v>
      </c>
      <c r="R24" s="151">
        <v>186.15557000000001</v>
      </c>
      <c r="S24" s="151">
        <v>186.15557000000001</v>
      </c>
      <c r="T24" s="151">
        <v>186.15557000000001</v>
      </c>
      <c r="U24" s="151">
        <v>186.15557000000001</v>
      </c>
      <c r="V24" s="151">
        <v>186.15557000000001</v>
      </c>
      <c r="W24" s="151">
        <v>186.15557000000001</v>
      </c>
      <c r="X24" s="151">
        <v>186.15557000000001</v>
      </c>
      <c r="Y24" s="151">
        <v>186.15557000000001</v>
      </c>
      <c r="Z24" s="151">
        <v>186.15557000000001</v>
      </c>
      <c r="AA24" s="151">
        <v>186.15557000000001</v>
      </c>
      <c r="AB24" s="151">
        <v>186.15557000000001</v>
      </c>
      <c r="AC24" s="151">
        <v>186.15557000000001</v>
      </c>
      <c r="AD24" s="151">
        <v>186.15557000000001</v>
      </c>
      <c r="AE24" s="151">
        <v>186.15557000000001</v>
      </c>
      <c r="AF24" s="151">
        <v>186.15557000000001</v>
      </c>
      <c r="AG24" s="151">
        <v>186.15557000000001</v>
      </c>
      <c r="AH24" s="151">
        <v>186.15557000000001</v>
      </c>
      <c r="AI24" s="151">
        <v>186.15557000000001</v>
      </c>
      <c r="AJ24" s="151">
        <v>186.15557000000001</v>
      </c>
      <c r="AK24" s="151">
        <v>186.15557000000001</v>
      </c>
      <c r="AL24" s="151">
        <v>186.15557000000001</v>
      </c>
      <c r="AM24" s="151">
        <v>186.15557000000001</v>
      </c>
      <c r="AN24" s="151">
        <v>186.15557000000001</v>
      </c>
      <c r="AO24" s="151">
        <v>186.15557000000001</v>
      </c>
      <c r="AP24" s="151">
        <v>186.15557000000001</v>
      </c>
      <c r="AQ24" s="151">
        <v>186.15557000000001</v>
      </c>
      <c r="AR24" s="151">
        <v>186.15557000000001</v>
      </c>
      <c r="AS24" s="151">
        <v>186.15557000000001</v>
      </c>
      <c r="AT24" s="151">
        <v>186.15557000000001</v>
      </c>
      <c r="AU24" s="151">
        <v>186.15557000000001</v>
      </c>
      <c r="AV24" s="151">
        <v>186.15557000000001</v>
      </c>
      <c r="AW24" s="151">
        <v>186.15557000000001</v>
      </c>
      <c r="AX24" s="151">
        <v>186.15557000000001</v>
      </c>
      <c r="AY24" s="151">
        <v>186.15557000000001</v>
      </c>
      <c r="AZ24" s="151">
        <v>372.31104999999997</v>
      </c>
      <c r="BA24" s="151">
        <v>0</v>
      </c>
      <c r="BB24" s="151">
        <v>0</v>
      </c>
      <c r="BC24" s="151">
        <v>0</v>
      </c>
      <c r="BD24" s="151">
        <v>0</v>
      </c>
      <c r="BE24" s="151">
        <v>0</v>
      </c>
      <c r="BF24" s="151">
        <v>0</v>
      </c>
      <c r="BG24" s="151">
        <v>0</v>
      </c>
      <c r="BH24" s="151">
        <v>0</v>
      </c>
      <c r="BI24" s="151">
        <v>0</v>
      </c>
      <c r="BJ24" s="151">
        <v>0</v>
      </c>
      <c r="BK24" s="151">
        <v>0</v>
      </c>
      <c r="BL24" s="151">
        <v>0</v>
      </c>
      <c r="BM24" s="151">
        <v>0</v>
      </c>
      <c r="BN24" s="151">
        <v>0</v>
      </c>
      <c r="BO24" s="151">
        <v>0</v>
      </c>
      <c r="BP24" s="151">
        <v>0</v>
      </c>
      <c r="BQ24" s="151">
        <v>0</v>
      </c>
      <c r="BR24" s="151">
        <v>0</v>
      </c>
      <c r="BS24" s="151">
        <v>0</v>
      </c>
      <c r="BT24" s="151">
        <v>0</v>
      </c>
      <c r="BU24" s="151">
        <v>0</v>
      </c>
      <c r="BV24" s="151">
        <v>0</v>
      </c>
      <c r="BW24" s="151">
        <v>0</v>
      </c>
      <c r="BX24" s="151">
        <v>0</v>
      </c>
    </row>
    <row r="25" spans="1:76" x14ac:dyDescent="0.25">
      <c r="A25" s="457" t="s">
        <v>679</v>
      </c>
      <c r="B25" s="151">
        <v>0</v>
      </c>
      <c r="C25" s="151">
        <v>0</v>
      </c>
      <c r="D25" s="151">
        <v>0</v>
      </c>
      <c r="E25" s="151">
        <v>0</v>
      </c>
      <c r="F25" s="151">
        <v>0</v>
      </c>
      <c r="G25" s="151">
        <v>0</v>
      </c>
      <c r="H25" s="151">
        <v>0</v>
      </c>
      <c r="I25" s="151">
        <v>0</v>
      </c>
      <c r="J25" s="151">
        <v>0</v>
      </c>
      <c r="K25" s="151">
        <v>0</v>
      </c>
      <c r="L25" s="151">
        <v>0</v>
      </c>
      <c r="M25" s="151">
        <v>0</v>
      </c>
      <c r="N25" s="151">
        <v>0</v>
      </c>
      <c r="O25" s="151">
        <v>0</v>
      </c>
      <c r="P25" s="151">
        <v>0</v>
      </c>
      <c r="Q25" s="151">
        <v>282.06884000000002</v>
      </c>
      <c r="R25" s="151">
        <v>282.06884000000002</v>
      </c>
      <c r="S25" s="151">
        <v>282.06884000000002</v>
      </c>
      <c r="T25" s="151">
        <v>282.06884000000002</v>
      </c>
      <c r="U25" s="151">
        <v>282.06884000000002</v>
      </c>
      <c r="V25" s="151">
        <v>282.06884000000002</v>
      </c>
      <c r="W25" s="151">
        <v>282.06884000000002</v>
      </c>
      <c r="X25" s="151">
        <v>282.06884000000002</v>
      </c>
      <c r="Y25" s="151">
        <v>282.06884000000002</v>
      </c>
      <c r="Z25" s="151">
        <v>282.06884000000002</v>
      </c>
      <c r="AA25" s="151">
        <v>282.06884000000002</v>
      </c>
      <c r="AB25" s="151">
        <v>282.06884000000002</v>
      </c>
      <c r="AC25" s="151">
        <v>282.06884000000002</v>
      </c>
      <c r="AD25" s="151">
        <v>282.06884000000002</v>
      </c>
      <c r="AE25" s="151">
        <v>282.06884000000002</v>
      </c>
      <c r="AF25" s="151">
        <v>282.06884000000002</v>
      </c>
      <c r="AG25" s="151">
        <v>282.06884000000002</v>
      </c>
      <c r="AH25" s="151">
        <v>282.06884000000002</v>
      </c>
      <c r="AI25" s="151">
        <v>282.06884000000002</v>
      </c>
      <c r="AJ25" s="151">
        <v>282.06884000000002</v>
      </c>
      <c r="AK25" s="151">
        <v>282.06884000000002</v>
      </c>
      <c r="AL25" s="151">
        <v>282.06884000000002</v>
      </c>
      <c r="AM25" s="151">
        <v>282.06884000000002</v>
      </c>
      <c r="AN25" s="151">
        <v>282.06884000000002</v>
      </c>
      <c r="AO25" s="151">
        <v>282.06884000000002</v>
      </c>
      <c r="AP25" s="151">
        <v>282.06884000000002</v>
      </c>
      <c r="AQ25" s="151">
        <v>282.06884000000002</v>
      </c>
      <c r="AR25" s="151">
        <v>282.06884000000002</v>
      </c>
      <c r="AS25" s="151">
        <v>282.06884000000002</v>
      </c>
      <c r="AT25" s="151">
        <v>282.06884000000002</v>
      </c>
      <c r="AU25" s="151">
        <v>282.06884000000002</v>
      </c>
      <c r="AV25" s="151">
        <v>282.06884000000002</v>
      </c>
      <c r="AW25" s="151">
        <v>282.06884000000002</v>
      </c>
      <c r="AX25" s="151">
        <v>282.06884000000002</v>
      </c>
      <c r="AY25" s="151">
        <v>282.06884000000002</v>
      </c>
      <c r="AZ25" s="151">
        <v>282.06884000000002</v>
      </c>
      <c r="BA25" s="151">
        <v>282.06884000000002</v>
      </c>
      <c r="BB25" s="151">
        <v>282.06884000000002</v>
      </c>
      <c r="BC25" s="151">
        <v>282.06884000000002</v>
      </c>
      <c r="BD25" s="151">
        <v>282.06884000000002</v>
      </c>
      <c r="BE25" s="151">
        <v>282.06884000000002</v>
      </c>
      <c r="BF25" s="151">
        <v>282.06884000000002</v>
      </c>
      <c r="BG25" s="151">
        <v>282.06871999999998</v>
      </c>
      <c r="BH25" s="151">
        <v>0</v>
      </c>
      <c r="BI25" s="151">
        <v>0</v>
      </c>
      <c r="BJ25" s="151">
        <v>0</v>
      </c>
      <c r="BK25" s="151">
        <v>0</v>
      </c>
      <c r="BL25" s="151">
        <v>0</v>
      </c>
      <c r="BM25" s="151">
        <v>0</v>
      </c>
      <c r="BN25" s="151">
        <v>0</v>
      </c>
      <c r="BO25" s="151">
        <v>0</v>
      </c>
      <c r="BP25" s="151">
        <v>0</v>
      </c>
      <c r="BQ25" s="151">
        <v>0</v>
      </c>
      <c r="BR25" s="151">
        <v>0</v>
      </c>
      <c r="BS25" s="151">
        <v>0</v>
      </c>
      <c r="BT25" s="151">
        <v>0</v>
      </c>
      <c r="BU25" s="151">
        <v>0</v>
      </c>
      <c r="BV25" s="151">
        <v>0</v>
      </c>
      <c r="BW25" s="151">
        <v>0</v>
      </c>
      <c r="BX25" s="151">
        <v>0</v>
      </c>
    </row>
    <row r="26" spans="1:76" x14ac:dyDescent="0.25">
      <c r="C26" s="235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</row>
    <row r="27" spans="1:76" x14ac:dyDescent="0.25"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</row>
    <row r="28" spans="1:76" x14ac:dyDescent="0.25"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</row>
    <row r="29" spans="1:76" x14ac:dyDescent="0.25"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</row>
    <row r="30" spans="1:76" x14ac:dyDescent="0.25"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</row>
  </sheetData>
  <mergeCells count="2">
    <mergeCell ref="A8:A9"/>
    <mergeCell ref="A17:A18"/>
  </mergeCells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BY104"/>
  <sheetViews>
    <sheetView showGridLines="0" topLeftCell="A18" zoomScaleNormal="100" workbookViewId="0">
      <selection activeCell="K22" sqref="C22:K22"/>
    </sheetView>
  </sheetViews>
  <sheetFormatPr defaultColWidth="11.6640625" defaultRowHeight="13.2" x14ac:dyDescent="0.25"/>
  <cols>
    <col min="1" max="1" width="45.33203125" style="13" customWidth="1"/>
    <col min="2" max="2" width="18.109375" style="22" customWidth="1"/>
    <col min="3" max="3" width="16.109375" style="18" customWidth="1"/>
    <col min="4" max="4" width="13.77734375" style="18" customWidth="1"/>
    <col min="5" max="5" width="12.33203125" style="18" customWidth="1"/>
    <col min="6" max="6" width="14.33203125" style="18" customWidth="1"/>
    <col min="7" max="7" width="14.109375" style="16" customWidth="1"/>
    <col min="8" max="8" width="13.44140625" style="13" customWidth="1"/>
    <col min="9" max="9" width="11.6640625" style="16" customWidth="1"/>
    <col min="10" max="11" width="11.6640625" style="13" customWidth="1"/>
    <col min="12" max="15" width="11.6640625" style="18" customWidth="1"/>
    <col min="16" max="16" width="12" style="7" customWidth="1"/>
    <col min="17" max="19" width="12" style="18" customWidth="1"/>
    <col min="20" max="22" width="12" style="13" customWidth="1"/>
    <col min="23" max="76" width="10.6640625" style="13" customWidth="1"/>
    <col min="77" max="77" width="9.33203125" style="13" customWidth="1"/>
    <col min="78" max="80" width="10.33203125" style="13" customWidth="1"/>
    <col min="81" max="16384" width="11.6640625" style="13"/>
  </cols>
  <sheetData>
    <row r="1" spans="1:77" s="376" customFormat="1" ht="28.5" customHeight="1" x14ac:dyDescent="0.3">
      <c r="A1" s="392" t="s">
        <v>163</v>
      </c>
      <c r="B1" s="391"/>
    </row>
    <row r="2" spans="1:77" s="376" customFormat="1" ht="19.5" customHeight="1" x14ac:dyDescent="0.25">
      <c r="A2" s="380" t="str">
        <f>'Книга допущений'!A2</f>
        <v>Парк мобильных домов</v>
      </c>
      <c r="B2" s="377"/>
    </row>
    <row r="3" spans="1:77" s="376" customFormat="1" ht="15" customHeight="1" x14ac:dyDescent="0.25">
      <c r="A3" s="378"/>
      <c r="B3" s="379"/>
    </row>
    <row r="4" spans="1:77" s="12" customFormat="1" ht="21.75" customHeight="1" x14ac:dyDescent="0.25">
      <c r="A4" s="14"/>
      <c r="B4"/>
    </row>
    <row r="5" spans="1:77" x14ac:dyDescent="0.25">
      <c r="A5" s="16" t="s">
        <v>59</v>
      </c>
    </row>
    <row r="6" spans="1:77" x14ac:dyDescent="0.25">
      <c r="A6" s="16"/>
    </row>
    <row r="7" spans="1:77" x14ac:dyDescent="0.25">
      <c r="A7" s="16" t="s">
        <v>60</v>
      </c>
    </row>
    <row r="8" spans="1:77" x14ac:dyDescent="0.25">
      <c r="A8" s="479" t="s">
        <v>24</v>
      </c>
      <c r="B8" s="499" t="s">
        <v>52</v>
      </c>
      <c r="C8" s="368">
        <f>'Книга допущений'!B12</f>
        <v>2020</v>
      </c>
      <c r="D8" s="140">
        <f t="shared" ref="D8:AI8" si="0">IF(MONTH(D9)=1,C8+1,C8)</f>
        <v>2020</v>
      </c>
      <c r="E8" s="140">
        <f t="shared" si="0"/>
        <v>2020</v>
      </c>
      <c r="F8" s="140">
        <f t="shared" si="0"/>
        <v>2021</v>
      </c>
      <c r="G8" s="140">
        <f t="shared" si="0"/>
        <v>2021</v>
      </c>
      <c r="H8" s="140">
        <f t="shared" si="0"/>
        <v>2021</v>
      </c>
      <c r="I8" s="140">
        <f t="shared" si="0"/>
        <v>2021</v>
      </c>
      <c r="J8" s="140">
        <f t="shared" si="0"/>
        <v>2021</v>
      </c>
      <c r="K8" s="140">
        <f t="shared" si="0"/>
        <v>2021</v>
      </c>
      <c r="L8" s="140">
        <f t="shared" si="0"/>
        <v>2021</v>
      </c>
      <c r="M8" s="140">
        <f t="shared" si="0"/>
        <v>2021</v>
      </c>
      <c r="N8" s="140">
        <f t="shared" si="0"/>
        <v>2021</v>
      </c>
      <c r="O8" s="140">
        <f t="shared" si="0"/>
        <v>2021</v>
      </c>
      <c r="P8" s="140">
        <f t="shared" si="0"/>
        <v>2021</v>
      </c>
      <c r="Q8" s="140">
        <f t="shared" si="0"/>
        <v>2021</v>
      </c>
      <c r="R8" s="140">
        <f t="shared" si="0"/>
        <v>2022</v>
      </c>
      <c r="S8" s="140">
        <f t="shared" si="0"/>
        <v>2022</v>
      </c>
      <c r="T8" s="140">
        <f t="shared" si="0"/>
        <v>2022</v>
      </c>
      <c r="U8" s="140">
        <f t="shared" si="0"/>
        <v>2022</v>
      </c>
      <c r="V8" s="140">
        <f t="shared" si="0"/>
        <v>2022</v>
      </c>
      <c r="W8" s="140">
        <f t="shared" si="0"/>
        <v>2022</v>
      </c>
      <c r="X8" s="140">
        <f t="shared" si="0"/>
        <v>2022</v>
      </c>
      <c r="Y8" s="140">
        <f t="shared" si="0"/>
        <v>2022</v>
      </c>
      <c r="Z8" s="140">
        <f t="shared" si="0"/>
        <v>2022</v>
      </c>
      <c r="AA8" s="140">
        <f t="shared" si="0"/>
        <v>2022</v>
      </c>
      <c r="AB8" s="140">
        <f t="shared" si="0"/>
        <v>2022</v>
      </c>
      <c r="AC8" s="140">
        <f t="shared" si="0"/>
        <v>2022</v>
      </c>
      <c r="AD8" s="140">
        <f t="shared" si="0"/>
        <v>2023</v>
      </c>
      <c r="AE8" s="140">
        <f t="shared" si="0"/>
        <v>2023</v>
      </c>
      <c r="AF8" s="140">
        <f t="shared" si="0"/>
        <v>2023</v>
      </c>
      <c r="AG8" s="140">
        <f t="shared" si="0"/>
        <v>2023</v>
      </c>
      <c r="AH8" s="140">
        <f t="shared" si="0"/>
        <v>2023</v>
      </c>
      <c r="AI8" s="140">
        <f t="shared" si="0"/>
        <v>2023</v>
      </c>
      <c r="AJ8" s="140">
        <f t="shared" ref="AJ8:BO8" si="1">IF(MONTH(AJ9)=1,AI8+1,AI8)</f>
        <v>2023</v>
      </c>
      <c r="AK8" s="140">
        <f t="shared" si="1"/>
        <v>2023</v>
      </c>
      <c r="AL8" s="140">
        <f t="shared" si="1"/>
        <v>2023</v>
      </c>
      <c r="AM8" s="140">
        <f t="shared" si="1"/>
        <v>2023</v>
      </c>
      <c r="AN8" s="140">
        <f t="shared" si="1"/>
        <v>2023</v>
      </c>
      <c r="AO8" s="140">
        <f t="shared" si="1"/>
        <v>2023</v>
      </c>
      <c r="AP8" s="140">
        <f t="shared" si="1"/>
        <v>2024</v>
      </c>
      <c r="AQ8" s="140">
        <f t="shared" si="1"/>
        <v>2024</v>
      </c>
      <c r="AR8" s="140">
        <f t="shared" si="1"/>
        <v>2024</v>
      </c>
      <c r="AS8" s="140">
        <f t="shared" si="1"/>
        <v>2024</v>
      </c>
      <c r="AT8" s="140">
        <f t="shared" si="1"/>
        <v>2024</v>
      </c>
      <c r="AU8" s="140">
        <f t="shared" si="1"/>
        <v>2024</v>
      </c>
      <c r="AV8" s="140">
        <f t="shared" si="1"/>
        <v>2024</v>
      </c>
      <c r="AW8" s="140">
        <f t="shared" si="1"/>
        <v>2024</v>
      </c>
      <c r="AX8" s="140">
        <f t="shared" si="1"/>
        <v>2024</v>
      </c>
      <c r="AY8" s="140">
        <f t="shared" si="1"/>
        <v>2024</v>
      </c>
      <c r="AZ8" s="140">
        <f t="shared" si="1"/>
        <v>2024</v>
      </c>
      <c r="BA8" s="140">
        <f t="shared" si="1"/>
        <v>2024</v>
      </c>
      <c r="BB8" s="140">
        <f t="shared" si="1"/>
        <v>2025</v>
      </c>
      <c r="BC8" s="140">
        <f t="shared" si="1"/>
        <v>2025</v>
      </c>
      <c r="BD8" s="140">
        <f t="shared" si="1"/>
        <v>2025</v>
      </c>
      <c r="BE8" s="140">
        <f t="shared" si="1"/>
        <v>2025</v>
      </c>
      <c r="BF8" s="140">
        <f t="shared" si="1"/>
        <v>2025</v>
      </c>
      <c r="BG8" s="140">
        <f t="shared" si="1"/>
        <v>2025</v>
      </c>
      <c r="BH8" s="140">
        <f t="shared" si="1"/>
        <v>2025</v>
      </c>
      <c r="BI8" s="140">
        <f t="shared" si="1"/>
        <v>2025</v>
      </c>
      <c r="BJ8" s="140">
        <f t="shared" si="1"/>
        <v>2025</v>
      </c>
      <c r="BK8" s="140">
        <f t="shared" si="1"/>
        <v>2025</v>
      </c>
      <c r="BL8" s="140">
        <f t="shared" si="1"/>
        <v>2025</v>
      </c>
      <c r="BM8" s="140">
        <f t="shared" si="1"/>
        <v>2025</v>
      </c>
      <c r="BN8" s="140">
        <f t="shared" si="1"/>
        <v>2026</v>
      </c>
      <c r="BO8" s="140">
        <f t="shared" si="1"/>
        <v>2026</v>
      </c>
      <c r="BP8" s="140">
        <f t="shared" ref="BP8:BY8" si="2">IF(MONTH(BP9)=1,BO8+1,BO8)</f>
        <v>2026</v>
      </c>
      <c r="BQ8" s="140">
        <f t="shared" si="2"/>
        <v>2026</v>
      </c>
      <c r="BR8" s="140">
        <f t="shared" si="2"/>
        <v>2026</v>
      </c>
      <c r="BS8" s="140">
        <f t="shared" si="2"/>
        <v>2026</v>
      </c>
      <c r="BT8" s="140">
        <f t="shared" si="2"/>
        <v>2026</v>
      </c>
      <c r="BU8" s="140">
        <f t="shared" si="2"/>
        <v>2026</v>
      </c>
      <c r="BV8" s="140">
        <f t="shared" si="2"/>
        <v>2026</v>
      </c>
      <c r="BW8" s="140">
        <f t="shared" si="2"/>
        <v>2026</v>
      </c>
      <c r="BX8" s="140">
        <f t="shared" si="2"/>
        <v>2026</v>
      </c>
      <c r="BY8" s="140">
        <f t="shared" si="2"/>
        <v>2026</v>
      </c>
    </row>
    <row r="9" spans="1:77" ht="12.75" customHeight="1" x14ac:dyDescent="0.25">
      <c r="A9" s="494"/>
      <c r="B9" s="500"/>
      <c r="C9" s="367">
        <f>'Книга допущений'!B11</f>
        <v>44106</v>
      </c>
      <c r="D9" s="367">
        <f t="shared" ref="D9:AI9" si="3">EDATE(C9,ROW(A1))</f>
        <v>44137</v>
      </c>
      <c r="E9" s="367">
        <f t="shared" si="3"/>
        <v>44167</v>
      </c>
      <c r="F9" s="367">
        <f t="shared" si="3"/>
        <v>44198</v>
      </c>
      <c r="G9" s="367">
        <f t="shared" si="3"/>
        <v>44229</v>
      </c>
      <c r="H9" s="367">
        <f t="shared" si="3"/>
        <v>44257</v>
      </c>
      <c r="I9" s="367">
        <f t="shared" si="3"/>
        <v>44288</v>
      </c>
      <c r="J9" s="367">
        <f t="shared" si="3"/>
        <v>44318</v>
      </c>
      <c r="K9" s="367">
        <f t="shared" si="3"/>
        <v>44349</v>
      </c>
      <c r="L9" s="367">
        <f t="shared" si="3"/>
        <v>44379</v>
      </c>
      <c r="M9" s="367">
        <f t="shared" si="3"/>
        <v>44410</v>
      </c>
      <c r="N9" s="367">
        <f t="shared" si="3"/>
        <v>44441</v>
      </c>
      <c r="O9" s="367">
        <f t="shared" si="3"/>
        <v>44471</v>
      </c>
      <c r="P9" s="367">
        <f t="shared" si="3"/>
        <v>44502</v>
      </c>
      <c r="Q9" s="367">
        <f t="shared" si="3"/>
        <v>44532</v>
      </c>
      <c r="R9" s="367">
        <f t="shared" si="3"/>
        <v>44563</v>
      </c>
      <c r="S9" s="367">
        <f t="shared" si="3"/>
        <v>44594</v>
      </c>
      <c r="T9" s="367">
        <f t="shared" si="3"/>
        <v>44622</v>
      </c>
      <c r="U9" s="367">
        <f t="shared" si="3"/>
        <v>44653</v>
      </c>
      <c r="V9" s="367">
        <f t="shared" si="3"/>
        <v>44683</v>
      </c>
      <c r="W9" s="367">
        <f t="shared" si="3"/>
        <v>44714</v>
      </c>
      <c r="X9" s="367">
        <f t="shared" si="3"/>
        <v>44744</v>
      </c>
      <c r="Y9" s="367">
        <f t="shared" si="3"/>
        <v>44775</v>
      </c>
      <c r="Z9" s="367">
        <f t="shared" si="3"/>
        <v>44806</v>
      </c>
      <c r="AA9" s="367">
        <f t="shared" si="3"/>
        <v>44836</v>
      </c>
      <c r="AB9" s="367">
        <f t="shared" si="3"/>
        <v>44867</v>
      </c>
      <c r="AC9" s="367">
        <f t="shared" si="3"/>
        <v>44897</v>
      </c>
      <c r="AD9" s="367">
        <f t="shared" si="3"/>
        <v>44928</v>
      </c>
      <c r="AE9" s="367">
        <f t="shared" si="3"/>
        <v>44959</v>
      </c>
      <c r="AF9" s="367">
        <f t="shared" si="3"/>
        <v>44987</v>
      </c>
      <c r="AG9" s="367">
        <f t="shared" si="3"/>
        <v>45018</v>
      </c>
      <c r="AH9" s="367">
        <f t="shared" si="3"/>
        <v>45048</v>
      </c>
      <c r="AI9" s="367">
        <f t="shared" si="3"/>
        <v>45079</v>
      </c>
      <c r="AJ9" s="367">
        <f t="shared" ref="AJ9:BO9" si="4">EDATE(AI9,ROW(AG1))</f>
        <v>45109</v>
      </c>
      <c r="AK9" s="367">
        <f t="shared" si="4"/>
        <v>45140</v>
      </c>
      <c r="AL9" s="367">
        <f t="shared" si="4"/>
        <v>45171</v>
      </c>
      <c r="AM9" s="367">
        <f t="shared" si="4"/>
        <v>45201</v>
      </c>
      <c r="AN9" s="367">
        <f t="shared" si="4"/>
        <v>45232</v>
      </c>
      <c r="AO9" s="367">
        <f t="shared" si="4"/>
        <v>45262</v>
      </c>
      <c r="AP9" s="367">
        <f t="shared" si="4"/>
        <v>45293</v>
      </c>
      <c r="AQ9" s="367">
        <f t="shared" si="4"/>
        <v>45324</v>
      </c>
      <c r="AR9" s="367">
        <f t="shared" si="4"/>
        <v>45353</v>
      </c>
      <c r="AS9" s="367">
        <f t="shared" si="4"/>
        <v>45384</v>
      </c>
      <c r="AT9" s="367">
        <f t="shared" si="4"/>
        <v>45414</v>
      </c>
      <c r="AU9" s="367">
        <f t="shared" si="4"/>
        <v>45445</v>
      </c>
      <c r="AV9" s="367">
        <f t="shared" si="4"/>
        <v>45475</v>
      </c>
      <c r="AW9" s="367">
        <f t="shared" si="4"/>
        <v>45506</v>
      </c>
      <c r="AX9" s="367">
        <f t="shared" si="4"/>
        <v>45537</v>
      </c>
      <c r="AY9" s="367">
        <f t="shared" si="4"/>
        <v>45567</v>
      </c>
      <c r="AZ9" s="367">
        <f t="shared" si="4"/>
        <v>45598</v>
      </c>
      <c r="BA9" s="367">
        <f t="shared" si="4"/>
        <v>45628</v>
      </c>
      <c r="BB9" s="367">
        <f t="shared" si="4"/>
        <v>45659</v>
      </c>
      <c r="BC9" s="367">
        <f t="shared" si="4"/>
        <v>45690</v>
      </c>
      <c r="BD9" s="367">
        <f t="shared" si="4"/>
        <v>45718</v>
      </c>
      <c r="BE9" s="367">
        <f t="shared" si="4"/>
        <v>45749</v>
      </c>
      <c r="BF9" s="367">
        <f t="shared" si="4"/>
        <v>45779</v>
      </c>
      <c r="BG9" s="367">
        <f t="shared" si="4"/>
        <v>45810</v>
      </c>
      <c r="BH9" s="367">
        <f t="shared" si="4"/>
        <v>45840</v>
      </c>
      <c r="BI9" s="367">
        <f t="shared" si="4"/>
        <v>45871</v>
      </c>
      <c r="BJ9" s="367">
        <f t="shared" si="4"/>
        <v>45902</v>
      </c>
      <c r="BK9" s="367">
        <f t="shared" si="4"/>
        <v>45932</v>
      </c>
      <c r="BL9" s="367">
        <f t="shared" si="4"/>
        <v>45963</v>
      </c>
      <c r="BM9" s="367">
        <f t="shared" si="4"/>
        <v>45993</v>
      </c>
      <c r="BN9" s="367">
        <f t="shared" si="4"/>
        <v>46024</v>
      </c>
      <c r="BO9" s="367">
        <f t="shared" si="4"/>
        <v>46055</v>
      </c>
      <c r="BP9" s="367">
        <f t="shared" ref="BP9:BY9" si="5">EDATE(BO9,ROW(BM1))</f>
        <v>46083</v>
      </c>
      <c r="BQ9" s="367">
        <f t="shared" si="5"/>
        <v>46114</v>
      </c>
      <c r="BR9" s="367">
        <f t="shared" si="5"/>
        <v>46144</v>
      </c>
      <c r="BS9" s="367">
        <f t="shared" si="5"/>
        <v>46175</v>
      </c>
      <c r="BT9" s="367">
        <f t="shared" si="5"/>
        <v>46205</v>
      </c>
      <c r="BU9" s="367">
        <f t="shared" si="5"/>
        <v>46236</v>
      </c>
      <c r="BV9" s="367">
        <f t="shared" si="5"/>
        <v>46267</v>
      </c>
      <c r="BW9" s="367">
        <f t="shared" si="5"/>
        <v>46297</v>
      </c>
      <c r="BX9" s="367">
        <f t="shared" si="5"/>
        <v>46328</v>
      </c>
      <c r="BY9" s="367">
        <f t="shared" si="5"/>
        <v>46358</v>
      </c>
    </row>
    <row r="10" spans="1:77" ht="12.75" hidden="1" customHeight="1" x14ac:dyDescent="0.25">
      <c r="A10" s="359"/>
      <c r="B10" s="366"/>
      <c r="C10" s="368">
        <f>'Книга допущений'!M130</f>
        <v>31</v>
      </c>
      <c r="D10" s="368">
        <f>'Книга допущений'!N130</f>
        <v>30</v>
      </c>
      <c r="E10" s="368">
        <f>'Книга допущений'!O130</f>
        <v>31</v>
      </c>
      <c r="F10" s="368">
        <f>'Книга допущений'!D130</f>
        <v>31</v>
      </c>
      <c r="G10" s="368">
        <f>'Книга допущений'!E130</f>
        <v>28</v>
      </c>
      <c r="H10" s="368">
        <f>'Книга допущений'!F130</f>
        <v>31</v>
      </c>
      <c r="I10" s="368">
        <f>'Книга допущений'!G130</f>
        <v>30</v>
      </c>
      <c r="J10" s="368">
        <f>'Книга допущений'!H130</f>
        <v>31</v>
      </c>
      <c r="K10" s="368">
        <f>'Книга допущений'!I130</f>
        <v>30</v>
      </c>
      <c r="L10" s="368">
        <f>'Книга допущений'!J130</f>
        <v>31</v>
      </c>
      <c r="M10" s="368">
        <f>'Книга допущений'!K130</f>
        <v>31</v>
      </c>
      <c r="N10" s="368">
        <f>'Книга допущений'!L130</f>
        <v>30</v>
      </c>
      <c r="O10" s="368">
        <f>C10</f>
        <v>31</v>
      </c>
      <c r="P10" s="368">
        <f t="shared" ref="P10:BY10" si="6">D10</f>
        <v>30</v>
      </c>
      <c r="Q10" s="368">
        <f t="shared" si="6"/>
        <v>31</v>
      </c>
      <c r="R10" s="368">
        <f t="shared" si="6"/>
        <v>31</v>
      </c>
      <c r="S10" s="368">
        <f t="shared" si="6"/>
        <v>28</v>
      </c>
      <c r="T10" s="368">
        <f t="shared" si="6"/>
        <v>31</v>
      </c>
      <c r="U10" s="368">
        <f t="shared" si="6"/>
        <v>30</v>
      </c>
      <c r="V10" s="368">
        <f t="shared" si="6"/>
        <v>31</v>
      </c>
      <c r="W10" s="368">
        <f t="shared" si="6"/>
        <v>30</v>
      </c>
      <c r="X10" s="368">
        <f t="shared" si="6"/>
        <v>31</v>
      </c>
      <c r="Y10" s="368">
        <f t="shared" si="6"/>
        <v>31</v>
      </c>
      <c r="Z10" s="368">
        <f t="shared" si="6"/>
        <v>30</v>
      </c>
      <c r="AA10" s="368">
        <f t="shared" si="6"/>
        <v>31</v>
      </c>
      <c r="AB10" s="368">
        <f t="shared" si="6"/>
        <v>30</v>
      </c>
      <c r="AC10" s="368">
        <f t="shared" si="6"/>
        <v>31</v>
      </c>
      <c r="AD10" s="368">
        <f t="shared" si="6"/>
        <v>31</v>
      </c>
      <c r="AE10" s="368">
        <f t="shared" si="6"/>
        <v>28</v>
      </c>
      <c r="AF10" s="368">
        <f t="shared" si="6"/>
        <v>31</v>
      </c>
      <c r="AG10" s="368">
        <f t="shared" si="6"/>
        <v>30</v>
      </c>
      <c r="AH10" s="368">
        <f t="shared" si="6"/>
        <v>31</v>
      </c>
      <c r="AI10" s="368">
        <f t="shared" si="6"/>
        <v>30</v>
      </c>
      <c r="AJ10" s="368">
        <f t="shared" si="6"/>
        <v>31</v>
      </c>
      <c r="AK10" s="368">
        <f t="shared" si="6"/>
        <v>31</v>
      </c>
      <c r="AL10" s="368">
        <f t="shared" si="6"/>
        <v>30</v>
      </c>
      <c r="AM10" s="368">
        <f t="shared" si="6"/>
        <v>31</v>
      </c>
      <c r="AN10" s="368">
        <f t="shared" si="6"/>
        <v>30</v>
      </c>
      <c r="AO10" s="368">
        <f t="shared" si="6"/>
        <v>31</v>
      </c>
      <c r="AP10" s="368">
        <f t="shared" si="6"/>
        <v>31</v>
      </c>
      <c r="AQ10" s="368">
        <f t="shared" si="6"/>
        <v>28</v>
      </c>
      <c r="AR10" s="368">
        <f t="shared" si="6"/>
        <v>31</v>
      </c>
      <c r="AS10" s="368">
        <f t="shared" si="6"/>
        <v>30</v>
      </c>
      <c r="AT10" s="368">
        <f t="shared" si="6"/>
        <v>31</v>
      </c>
      <c r="AU10" s="368">
        <f t="shared" si="6"/>
        <v>30</v>
      </c>
      <c r="AV10" s="368">
        <f t="shared" si="6"/>
        <v>31</v>
      </c>
      <c r="AW10" s="368">
        <f t="shared" si="6"/>
        <v>31</v>
      </c>
      <c r="AX10" s="368">
        <f t="shared" si="6"/>
        <v>30</v>
      </c>
      <c r="AY10" s="368">
        <f t="shared" si="6"/>
        <v>31</v>
      </c>
      <c r="AZ10" s="368">
        <f t="shared" si="6"/>
        <v>30</v>
      </c>
      <c r="BA10" s="368">
        <f t="shared" si="6"/>
        <v>31</v>
      </c>
      <c r="BB10" s="368">
        <f t="shared" si="6"/>
        <v>31</v>
      </c>
      <c r="BC10" s="368">
        <f t="shared" si="6"/>
        <v>28</v>
      </c>
      <c r="BD10" s="368">
        <f t="shared" si="6"/>
        <v>31</v>
      </c>
      <c r="BE10" s="368">
        <f t="shared" si="6"/>
        <v>30</v>
      </c>
      <c r="BF10" s="368">
        <f t="shared" si="6"/>
        <v>31</v>
      </c>
      <c r="BG10" s="368">
        <f t="shared" si="6"/>
        <v>30</v>
      </c>
      <c r="BH10" s="368">
        <f t="shared" si="6"/>
        <v>31</v>
      </c>
      <c r="BI10" s="368">
        <f t="shared" si="6"/>
        <v>31</v>
      </c>
      <c r="BJ10" s="368">
        <f t="shared" si="6"/>
        <v>30</v>
      </c>
      <c r="BK10" s="368">
        <f t="shared" si="6"/>
        <v>31</v>
      </c>
      <c r="BL10" s="368">
        <f t="shared" si="6"/>
        <v>30</v>
      </c>
      <c r="BM10" s="368">
        <f t="shared" si="6"/>
        <v>31</v>
      </c>
      <c r="BN10" s="368">
        <f t="shared" si="6"/>
        <v>31</v>
      </c>
      <c r="BO10" s="368">
        <f t="shared" si="6"/>
        <v>28</v>
      </c>
      <c r="BP10" s="368">
        <f t="shared" si="6"/>
        <v>31</v>
      </c>
      <c r="BQ10" s="368">
        <f t="shared" si="6"/>
        <v>30</v>
      </c>
      <c r="BR10" s="368">
        <f t="shared" si="6"/>
        <v>31</v>
      </c>
      <c r="BS10" s="368">
        <f t="shared" si="6"/>
        <v>30</v>
      </c>
      <c r="BT10" s="368">
        <f t="shared" si="6"/>
        <v>31</v>
      </c>
      <c r="BU10" s="368">
        <f t="shared" si="6"/>
        <v>31</v>
      </c>
      <c r="BV10" s="368">
        <f t="shared" si="6"/>
        <v>30</v>
      </c>
      <c r="BW10" s="368">
        <f t="shared" si="6"/>
        <v>31</v>
      </c>
      <c r="BX10" s="368">
        <f t="shared" si="6"/>
        <v>30</v>
      </c>
      <c r="BY10" s="368">
        <f t="shared" si="6"/>
        <v>31</v>
      </c>
    </row>
    <row r="11" spans="1:77" ht="12.75" hidden="1" customHeight="1" x14ac:dyDescent="0.25">
      <c r="A11" s="123"/>
      <c r="B11" s="89"/>
      <c r="C11" s="140">
        <v>0</v>
      </c>
      <c r="D11" s="140">
        <f>IF(MONTH(D9)=1,C11+1,C11)</f>
        <v>0</v>
      </c>
      <c r="E11" s="140">
        <f t="shared" ref="E11:H11" si="7">IF(MONTH(E9)=1,D11+1,D11)</f>
        <v>0</v>
      </c>
      <c r="F11" s="140">
        <f t="shared" si="7"/>
        <v>1</v>
      </c>
      <c r="G11" s="140">
        <f t="shared" si="7"/>
        <v>1</v>
      </c>
      <c r="H11" s="140">
        <f t="shared" si="7"/>
        <v>1</v>
      </c>
      <c r="I11" s="140">
        <f t="shared" ref="I11" si="8">IF(MONTH(I9)=1,H11+1,H11)</f>
        <v>1</v>
      </c>
      <c r="J11" s="140">
        <f t="shared" ref="J11" si="9">IF(MONTH(J9)=1,I11+1,I11)</f>
        <v>1</v>
      </c>
      <c r="K11" s="140">
        <f t="shared" ref="K11" si="10">IF(MONTH(K9)=1,J11+1,J11)</f>
        <v>1</v>
      </c>
      <c r="L11" s="140">
        <f t="shared" ref="L11" si="11">IF(MONTH(L9)=1,K11+1,K11)</f>
        <v>1</v>
      </c>
      <c r="M11" s="140">
        <f t="shared" ref="M11" si="12">IF(MONTH(M9)=1,L11+1,L11)</f>
        <v>1</v>
      </c>
      <c r="N11" s="140">
        <f t="shared" ref="N11" si="13">IF(MONTH(N9)=1,M11+1,M11)</f>
        <v>1</v>
      </c>
      <c r="O11" s="140">
        <f t="shared" ref="O11" si="14">IF(MONTH(O9)=1,N11+1,N11)</f>
        <v>1</v>
      </c>
      <c r="P11" s="140">
        <f t="shared" ref="P11" si="15">IF(MONTH(P9)=1,O11+1,O11)</f>
        <v>1</v>
      </c>
      <c r="Q11" s="140">
        <f t="shared" ref="Q11" si="16">IF(MONTH(Q9)=1,P11+1,P11)</f>
        <v>1</v>
      </c>
      <c r="R11" s="140">
        <f t="shared" ref="R11" si="17">IF(MONTH(R9)=1,Q11+1,Q11)</f>
        <v>2</v>
      </c>
      <c r="S11" s="140">
        <f t="shared" ref="S11" si="18">IF(MONTH(S9)=1,R11+1,R11)</f>
        <v>2</v>
      </c>
      <c r="T11" s="140">
        <f t="shared" ref="T11" si="19">IF(MONTH(T9)=1,S11+1,S11)</f>
        <v>2</v>
      </c>
      <c r="U11" s="140">
        <f t="shared" ref="U11" si="20">IF(MONTH(U9)=1,T11+1,T11)</f>
        <v>2</v>
      </c>
      <c r="V11" s="140">
        <f t="shared" ref="V11" si="21">IF(MONTH(V9)=1,U11+1,U11)</f>
        <v>2</v>
      </c>
      <c r="W11" s="140">
        <f t="shared" ref="W11" si="22">IF(MONTH(W9)=1,V11+1,V11)</f>
        <v>2</v>
      </c>
      <c r="X11" s="140">
        <f t="shared" ref="X11" si="23">IF(MONTH(X9)=1,W11+1,W11)</f>
        <v>2</v>
      </c>
      <c r="Y11" s="140">
        <f t="shared" ref="Y11" si="24">IF(MONTH(Y9)=1,X11+1,X11)</f>
        <v>2</v>
      </c>
      <c r="Z11" s="140">
        <f t="shared" ref="Z11" si="25">IF(MONTH(Z9)=1,Y11+1,Y11)</f>
        <v>2</v>
      </c>
      <c r="AA11" s="140">
        <f t="shared" ref="AA11" si="26">IF(MONTH(AA9)=1,Z11+1,Z11)</f>
        <v>2</v>
      </c>
      <c r="AB11" s="140">
        <f t="shared" ref="AB11" si="27">IF(MONTH(AB9)=1,AA11+1,AA11)</f>
        <v>2</v>
      </c>
      <c r="AC11" s="140">
        <f t="shared" ref="AC11" si="28">IF(MONTH(AC9)=1,AB11+1,AB11)</f>
        <v>2</v>
      </c>
      <c r="AD11" s="140">
        <f t="shared" ref="AD11" si="29">IF(MONTH(AD9)=1,AC11+1,AC11)</f>
        <v>3</v>
      </c>
      <c r="AE11" s="140">
        <f t="shared" ref="AE11" si="30">IF(MONTH(AE9)=1,AD11+1,AD11)</f>
        <v>3</v>
      </c>
      <c r="AF11" s="140">
        <f t="shared" ref="AF11" si="31">IF(MONTH(AF9)=1,AE11+1,AE11)</f>
        <v>3</v>
      </c>
      <c r="AG11" s="140">
        <f t="shared" ref="AG11" si="32">IF(MONTH(AG9)=1,AF11+1,AF11)</f>
        <v>3</v>
      </c>
      <c r="AH11" s="140">
        <f t="shared" ref="AH11" si="33">IF(MONTH(AH9)=1,AG11+1,AG11)</f>
        <v>3</v>
      </c>
      <c r="AI11" s="140">
        <f t="shared" ref="AI11" si="34">IF(MONTH(AI9)=1,AH11+1,AH11)</f>
        <v>3</v>
      </c>
      <c r="AJ11" s="140">
        <f t="shared" ref="AJ11" si="35">IF(MONTH(AJ9)=1,AI11+1,AI11)</f>
        <v>3</v>
      </c>
      <c r="AK11" s="140">
        <f t="shared" ref="AK11" si="36">IF(MONTH(AK9)=1,AJ11+1,AJ11)</f>
        <v>3</v>
      </c>
      <c r="AL11" s="140">
        <f t="shared" ref="AL11" si="37">IF(MONTH(AL9)=1,AK11+1,AK11)</f>
        <v>3</v>
      </c>
      <c r="AM11" s="140">
        <f t="shared" ref="AM11" si="38">IF(MONTH(AM9)=1,AL11+1,AL11)</f>
        <v>3</v>
      </c>
      <c r="AN11" s="140">
        <f t="shared" ref="AN11" si="39">IF(MONTH(AN9)=1,AM11+1,AM11)</f>
        <v>3</v>
      </c>
      <c r="AO11" s="140">
        <f t="shared" ref="AO11" si="40">IF(MONTH(AO9)=1,AN11+1,AN11)</f>
        <v>3</v>
      </c>
      <c r="AP11" s="140">
        <f t="shared" ref="AP11" si="41">IF(MONTH(AP9)=1,AO11+1,AO11)</f>
        <v>4</v>
      </c>
      <c r="AQ11" s="140">
        <f t="shared" ref="AQ11" si="42">IF(MONTH(AQ9)=1,AP11+1,AP11)</f>
        <v>4</v>
      </c>
      <c r="AR11" s="140">
        <f t="shared" ref="AR11" si="43">IF(MONTH(AR9)=1,AQ11+1,AQ11)</f>
        <v>4</v>
      </c>
      <c r="AS11" s="140">
        <f t="shared" ref="AS11" si="44">IF(MONTH(AS9)=1,AR11+1,AR11)</f>
        <v>4</v>
      </c>
      <c r="AT11" s="140">
        <f t="shared" ref="AT11" si="45">IF(MONTH(AT9)=1,AS11+1,AS11)</f>
        <v>4</v>
      </c>
      <c r="AU11" s="140">
        <f t="shared" ref="AU11" si="46">IF(MONTH(AU9)=1,AT11+1,AT11)</f>
        <v>4</v>
      </c>
      <c r="AV11" s="140">
        <f t="shared" ref="AV11" si="47">IF(MONTH(AV9)=1,AU11+1,AU11)</f>
        <v>4</v>
      </c>
      <c r="AW11" s="140">
        <f t="shared" ref="AW11" si="48">IF(MONTH(AW9)=1,AV11+1,AV11)</f>
        <v>4</v>
      </c>
      <c r="AX11" s="140">
        <f t="shared" ref="AX11" si="49">IF(MONTH(AX9)=1,AW11+1,AW11)</f>
        <v>4</v>
      </c>
      <c r="AY11" s="140">
        <f t="shared" ref="AY11" si="50">IF(MONTH(AY9)=1,AX11+1,AX11)</f>
        <v>4</v>
      </c>
      <c r="AZ11" s="140">
        <f t="shared" ref="AZ11" si="51">IF(MONTH(AZ9)=1,AY11+1,AY11)</f>
        <v>4</v>
      </c>
      <c r="BA11" s="140">
        <f t="shared" ref="BA11" si="52">IF(MONTH(BA9)=1,AZ11+1,AZ11)</f>
        <v>4</v>
      </c>
      <c r="BB11" s="140">
        <f t="shared" ref="BB11" si="53">IF(MONTH(BB9)=1,BA11+1,BA11)</f>
        <v>5</v>
      </c>
      <c r="BC11" s="140">
        <f t="shared" ref="BC11" si="54">IF(MONTH(BC9)=1,BB11+1,BB11)</f>
        <v>5</v>
      </c>
      <c r="BD11" s="140">
        <f t="shared" ref="BD11" si="55">IF(MONTH(BD9)=1,BC11+1,BC11)</f>
        <v>5</v>
      </c>
      <c r="BE11" s="140">
        <f t="shared" ref="BE11" si="56">IF(MONTH(BE9)=1,BD11+1,BD11)</f>
        <v>5</v>
      </c>
      <c r="BF11" s="140">
        <f t="shared" ref="BF11" si="57">IF(MONTH(BF9)=1,BE11+1,BE11)</f>
        <v>5</v>
      </c>
      <c r="BG11" s="140">
        <f t="shared" ref="BG11" si="58">IF(MONTH(BG9)=1,BF11+1,BF11)</f>
        <v>5</v>
      </c>
      <c r="BH11" s="140">
        <f t="shared" ref="BH11" si="59">IF(MONTH(BH9)=1,BG11+1,BG11)</f>
        <v>5</v>
      </c>
      <c r="BI11" s="140">
        <f t="shared" ref="BI11" si="60">IF(MONTH(BI9)=1,BH11+1,BH11)</f>
        <v>5</v>
      </c>
      <c r="BJ11" s="140">
        <f t="shared" ref="BJ11" si="61">IF(MONTH(BJ9)=1,BI11+1,BI11)</f>
        <v>5</v>
      </c>
      <c r="BK11" s="140">
        <f t="shared" ref="BK11" si="62">IF(MONTH(BK9)=1,BJ11+1,BJ11)</f>
        <v>5</v>
      </c>
      <c r="BL11" s="140">
        <f t="shared" ref="BL11" si="63">IF(MONTH(BL9)=1,BK11+1,BK11)</f>
        <v>5</v>
      </c>
      <c r="BM11" s="140">
        <f t="shared" ref="BM11" si="64">IF(MONTH(BM9)=1,BL11+1,BL11)</f>
        <v>5</v>
      </c>
      <c r="BN11" s="140">
        <f t="shared" ref="BN11" si="65">IF(MONTH(BN9)=1,BM11+1,BM11)</f>
        <v>6</v>
      </c>
      <c r="BO11" s="140">
        <f t="shared" ref="BO11" si="66">IF(MONTH(BO9)=1,BN11+1,BN11)</f>
        <v>6</v>
      </c>
      <c r="BP11" s="140">
        <f t="shared" ref="BP11" si="67">IF(MONTH(BP9)=1,BO11+1,BO11)</f>
        <v>6</v>
      </c>
      <c r="BQ11" s="140">
        <f t="shared" ref="BQ11" si="68">IF(MONTH(BQ9)=1,BP11+1,BP11)</f>
        <v>6</v>
      </c>
      <c r="BR11" s="140">
        <f t="shared" ref="BR11" si="69">IF(MONTH(BR9)=1,BQ11+1,BQ11)</f>
        <v>6</v>
      </c>
      <c r="BS11" s="140">
        <f t="shared" ref="BS11" si="70">IF(MONTH(BS9)=1,BR11+1,BR11)</f>
        <v>6</v>
      </c>
      <c r="BT11" s="140">
        <f t="shared" ref="BT11" si="71">IF(MONTH(BT9)=1,BS11+1,BS11)</f>
        <v>6</v>
      </c>
      <c r="BU11" s="140">
        <f t="shared" ref="BU11" si="72">IF(MONTH(BU9)=1,BT11+1,BT11)</f>
        <v>6</v>
      </c>
      <c r="BV11" s="140">
        <f t="shared" ref="BV11" si="73">IF(MONTH(BV9)=1,BU11+1,BU11)</f>
        <v>6</v>
      </c>
      <c r="BW11" s="140">
        <f t="shared" ref="BW11" si="74">IF(MONTH(BW9)=1,BV11+1,BV11)</f>
        <v>6</v>
      </c>
      <c r="BX11" s="140">
        <f t="shared" ref="BX11" si="75">IF(MONTH(BX9)=1,BW11+1,BW11)</f>
        <v>6</v>
      </c>
      <c r="BY11" s="140">
        <f t="shared" ref="BY11" si="76">IF(MONTH(BY9)=1,BX11+1,BX11)</f>
        <v>6</v>
      </c>
    </row>
    <row r="12" spans="1:77" ht="12.75" customHeight="1" x14ac:dyDescent="0.25">
      <c r="A12" s="369" t="s">
        <v>381</v>
      </c>
      <c r="B12" s="361"/>
      <c r="C12" s="370">
        <f>'Книга допущений'!M141</f>
        <v>0</v>
      </c>
      <c r="D12" s="370">
        <f>'Книга допущений'!N141</f>
        <v>0</v>
      </c>
      <c r="E12" s="370">
        <f>'Книга допущений'!O141</f>
        <v>0</v>
      </c>
      <c r="F12" s="370">
        <f>'Книга допущений'!D142</f>
        <v>0</v>
      </c>
      <c r="G12" s="370">
        <f>'Книга допущений'!E142</f>
        <v>0</v>
      </c>
      <c r="H12" s="370">
        <f>'Книга допущений'!F142</f>
        <v>0</v>
      </c>
      <c r="I12" s="370">
        <f>'Книга допущений'!G142</f>
        <v>0</v>
      </c>
      <c r="J12" s="370">
        <f>'Книга допущений'!H142</f>
        <v>0</v>
      </c>
      <c r="K12" s="370">
        <f>'Книга допущений'!I142</f>
        <v>0</v>
      </c>
      <c r="L12" s="370">
        <f>'Книга допущений'!J142</f>
        <v>0.5</v>
      </c>
      <c r="M12" s="370">
        <f>'Книга допущений'!K142</f>
        <v>0.55000000000000004</v>
      </c>
      <c r="N12" s="370">
        <f>'Книга допущений'!L142</f>
        <v>0.60000000000000009</v>
      </c>
      <c r="O12" s="370">
        <f>'Книга допущений'!M142</f>
        <v>0.65000000000000013</v>
      </c>
      <c r="P12" s="370">
        <f>'Книга допущений'!N142</f>
        <v>0.70000000000000018</v>
      </c>
      <c r="Q12" s="370">
        <f>'Книга допущений'!O142</f>
        <v>0.75000000000000022</v>
      </c>
      <c r="R12" s="370">
        <f>'Книга допущений'!D143</f>
        <v>0.80000000000000027</v>
      </c>
      <c r="S12" s="370">
        <f>'Книга допущений'!E143</f>
        <v>0.85000000000000031</v>
      </c>
      <c r="T12" s="370">
        <f>'Книга допущений'!F143</f>
        <v>0.90000000000000036</v>
      </c>
      <c r="U12" s="370">
        <f>'Книга допущений'!G143</f>
        <v>0.9500000000000004</v>
      </c>
      <c r="V12" s="370">
        <f>'Книга допущений'!H143</f>
        <v>1.0000000000000004</v>
      </c>
      <c r="W12" s="370">
        <f>'Книга допущений'!I143</f>
        <v>1</v>
      </c>
      <c r="X12" s="370">
        <f>'Книга допущений'!J143</f>
        <v>1</v>
      </c>
      <c r="Y12" s="370">
        <f>'Книга допущений'!K143</f>
        <v>1</v>
      </c>
      <c r="Z12" s="370">
        <f>'Книга допущений'!L143</f>
        <v>1</v>
      </c>
      <c r="AA12" s="370">
        <f>'Книга допущений'!M143</f>
        <v>1</v>
      </c>
      <c r="AB12" s="370">
        <f>'Книга допущений'!N143</f>
        <v>1</v>
      </c>
      <c r="AC12" s="370">
        <f>'Книга допущений'!O143</f>
        <v>1</v>
      </c>
      <c r="AD12" s="370">
        <f>'Книга допущений'!D144</f>
        <v>1</v>
      </c>
      <c r="AE12" s="370">
        <f>'Книга допущений'!E144</f>
        <v>1</v>
      </c>
      <c r="AF12" s="370">
        <f>'Книга допущений'!F144</f>
        <v>1</v>
      </c>
      <c r="AG12" s="370">
        <f>'Книга допущений'!G144</f>
        <v>1</v>
      </c>
      <c r="AH12" s="370">
        <f>'Книга допущений'!H144</f>
        <v>1</v>
      </c>
      <c r="AI12" s="370">
        <f>'Книга допущений'!I144</f>
        <v>1</v>
      </c>
      <c r="AJ12" s="370">
        <f>'Книга допущений'!J144</f>
        <v>1</v>
      </c>
      <c r="AK12" s="370">
        <f>'Книга допущений'!K144</f>
        <v>1</v>
      </c>
      <c r="AL12" s="370">
        <f>'Книга допущений'!L144</f>
        <v>1</v>
      </c>
      <c r="AM12" s="370">
        <f>'Книга допущений'!M144</f>
        <v>1</v>
      </c>
      <c r="AN12" s="370">
        <f>'Книга допущений'!N144</f>
        <v>1</v>
      </c>
      <c r="AO12" s="370">
        <f>'Книга допущений'!O144</f>
        <v>1</v>
      </c>
      <c r="AP12" s="370">
        <f>'Книга допущений'!D144</f>
        <v>1</v>
      </c>
      <c r="AQ12" s="370">
        <f>'Книга допущений'!E144</f>
        <v>1</v>
      </c>
      <c r="AR12" s="370">
        <f>'Книга допущений'!F144</f>
        <v>1</v>
      </c>
      <c r="AS12" s="370">
        <f>'Книга допущений'!G144</f>
        <v>1</v>
      </c>
      <c r="AT12" s="370">
        <f>'Книга допущений'!H144</f>
        <v>1</v>
      </c>
      <c r="AU12" s="370">
        <f>'Книга допущений'!I144</f>
        <v>1</v>
      </c>
      <c r="AV12" s="370">
        <f>'Книга допущений'!J144</f>
        <v>1</v>
      </c>
      <c r="AW12" s="370">
        <f>'Книга допущений'!K144</f>
        <v>1</v>
      </c>
      <c r="AX12" s="370">
        <f>'Книга допущений'!L144</f>
        <v>1</v>
      </c>
      <c r="AY12" s="370">
        <f>'Книга допущений'!M144</f>
        <v>1</v>
      </c>
      <c r="AZ12" s="370">
        <f>'Книга допущений'!N144</f>
        <v>1</v>
      </c>
      <c r="BA12" s="370">
        <f>'Книга допущений'!O144</f>
        <v>1</v>
      </c>
      <c r="BB12" s="370">
        <f>'Книга допущений'!D144</f>
        <v>1</v>
      </c>
      <c r="BC12" s="370">
        <f>'Книга допущений'!E144</f>
        <v>1</v>
      </c>
      <c r="BD12" s="370">
        <f>'Книга допущений'!F144</f>
        <v>1</v>
      </c>
      <c r="BE12" s="370">
        <f>'Книга допущений'!G144</f>
        <v>1</v>
      </c>
      <c r="BF12" s="370">
        <f>'Книга допущений'!H144</f>
        <v>1</v>
      </c>
      <c r="BG12" s="370">
        <f>'Книга допущений'!I144</f>
        <v>1</v>
      </c>
      <c r="BH12" s="370">
        <f>'Книга допущений'!J144</f>
        <v>1</v>
      </c>
      <c r="BI12" s="370">
        <f>'Книга допущений'!K144</f>
        <v>1</v>
      </c>
      <c r="BJ12" s="370">
        <f>'Книга допущений'!L144</f>
        <v>1</v>
      </c>
      <c r="BK12" s="370">
        <f>'Книга допущений'!M144</f>
        <v>1</v>
      </c>
      <c r="BL12" s="370">
        <f>'Книга допущений'!N144</f>
        <v>1</v>
      </c>
      <c r="BM12" s="370">
        <f>'Книга допущений'!O144</f>
        <v>1</v>
      </c>
      <c r="BN12" s="370">
        <f>'Книга допущений'!D144</f>
        <v>1</v>
      </c>
      <c r="BO12" s="370">
        <f>'Книга допущений'!E144</f>
        <v>1</v>
      </c>
      <c r="BP12" s="370">
        <f>'Книга допущений'!F144</f>
        <v>1</v>
      </c>
      <c r="BQ12" s="370">
        <f>'Книга допущений'!G144</f>
        <v>1</v>
      </c>
      <c r="BR12" s="370">
        <f>'Книга допущений'!H144</f>
        <v>1</v>
      </c>
      <c r="BS12" s="370">
        <f>'Книга допущений'!I144</f>
        <v>1</v>
      </c>
      <c r="BT12" s="370">
        <f>'Книга допущений'!J144</f>
        <v>1</v>
      </c>
      <c r="BU12" s="370">
        <f>'Книга допущений'!K144</f>
        <v>1</v>
      </c>
      <c r="BV12" s="370">
        <f>'Книга допущений'!L144</f>
        <v>1</v>
      </c>
      <c r="BW12" s="370">
        <f>'Книга допущений'!M144</f>
        <v>1</v>
      </c>
      <c r="BX12" s="370">
        <f>'Книга допущений'!N144</f>
        <v>1</v>
      </c>
      <c r="BY12" s="370">
        <f>'Книга допущений'!O144</f>
        <v>1</v>
      </c>
    </row>
    <row r="13" spans="1:77" s="42" customFormat="1" x14ac:dyDescent="0.25">
      <c r="A13" s="144" t="s">
        <v>103</v>
      </c>
      <c r="B13" s="141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</row>
    <row r="14" spans="1:77" x14ac:dyDescent="0.25">
      <c r="A14" s="90" t="str">
        <f>'Книга допущений'!A135</f>
        <v>Проживание</v>
      </c>
      <c r="B14" s="136" t="str">
        <f>'Книга допущений'!C135</f>
        <v>дом/сут.</v>
      </c>
      <c r="C14" s="122">
        <f>'Книга допущений'!M135*C$12*(1+Риски!$B$11)</f>
        <v>0</v>
      </c>
      <c r="D14" s="122">
        <f>'Книга допущений'!N135*D$12*(1+Риски!$B$11)</f>
        <v>0</v>
      </c>
      <c r="E14" s="122">
        <f>'Книга допущений'!O135*E$12*(1+Риски!$B$11)</f>
        <v>0</v>
      </c>
      <c r="F14" s="122">
        <f>'Книга допущений'!D135*F$12*(1+Риски!$B$11)</f>
        <v>0</v>
      </c>
      <c r="G14" s="122">
        <f>'Книга допущений'!E135*G$12*(1+Риски!$B$11)</f>
        <v>0</v>
      </c>
      <c r="H14" s="122">
        <f>'Книга допущений'!F135*H$12*(1+Риски!$B$11)</f>
        <v>0</v>
      </c>
      <c r="I14" s="122">
        <f>'Книга допущений'!G135*I$12*(1+Риски!$B$11)</f>
        <v>0</v>
      </c>
      <c r="J14" s="122">
        <f>'Книга допущений'!H135*J$12*(1+Риски!$B$11)</f>
        <v>0</v>
      </c>
      <c r="K14" s="122">
        <f>'Книга допущений'!I135*K$12*(1+Риски!$B$11)</f>
        <v>0</v>
      </c>
      <c r="L14" s="122">
        <f>'Книга допущений'!J135*L$12*(1+Риски!$B$11)</f>
        <v>677.04</v>
      </c>
      <c r="M14" s="122">
        <f>'Книга допущений'!K135*M$12*(1+Риски!$B$11)</f>
        <v>691.54800000000012</v>
      </c>
      <c r="N14" s="122">
        <f>'Книга допущений'!L135*N$12*(1+Риски!$B$11)</f>
        <v>561.60000000000014</v>
      </c>
      <c r="O14" s="122">
        <f>'Книга допущений'!M135*O$12*(1+Риски!$B$11)</f>
        <v>597.24600000000009</v>
      </c>
      <c r="P14" s="122">
        <f>'Книга допущений'!N135*P$12*(1+Риски!$B$11)</f>
        <v>458.64000000000004</v>
      </c>
      <c r="Q14" s="122">
        <f>'Книга допущений'!O135*Q$12*(1+Риски!$B$11)</f>
        <v>1051.8300000000004</v>
      </c>
      <c r="R14" s="122">
        <f>'Книга допущений'!D135*R$12*(1+Риски!$B$11)</f>
        <v>619.00800000000027</v>
      </c>
      <c r="S14" s="122">
        <f>'Книга допущений'!E135*S$12*(1+Риски!$B$11)</f>
        <v>519.79200000000014</v>
      </c>
      <c r="T14" s="122">
        <f>'Книга допущений'!F135*T$12*(1+Риски!$B$11)</f>
        <v>696.38400000000036</v>
      </c>
      <c r="U14" s="122">
        <f>'Книга допущений'!G135*U$12*(1+Риски!$B$11)</f>
        <v>622.44000000000017</v>
      </c>
      <c r="V14" s="122">
        <f>'Книга допущений'!H135*V$12*(1+Риски!$B$11)</f>
        <v>967.2000000000005</v>
      </c>
      <c r="W14" s="122">
        <f>'Книга допущений'!I135*W$12*(1+Риски!$B$11)</f>
        <v>1123.2</v>
      </c>
      <c r="X14" s="122">
        <f>'Книга допущений'!J135*X$12*(1+Риски!$B$11)</f>
        <v>1354.08</v>
      </c>
      <c r="Y14" s="122">
        <f>'Книга допущений'!K135*Y$12*(1+Риски!$B$11)</f>
        <v>1257.3600000000001</v>
      </c>
      <c r="Z14" s="122">
        <f>'Книга допущений'!L135*Z$12*(1+Риски!$B$11)</f>
        <v>936</v>
      </c>
      <c r="AA14" s="122">
        <f>'Книга допущений'!M135*AA$12*(1+Риски!$B$11)</f>
        <v>918.83999999999992</v>
      </c>
      <c r="AB14" s="122">
        <f>'Книга допущений'!N135*AB$12*(1+Риски!$B$11)</f>
        <v>655.19999999999993</v>
      </c>
      <c r="AC14" s="122">
        <f>'Книга допущений'!O135*AC$12*(1+Риски!$B$11)</f>
        <v>1402.44</v>
      </c>
      <c r="AD14" s="122">
        <f>'Книга допущений'!D135*AD$12*(1+Риски!$B$11)</f>
        <v>773.7600000000001</v>
      </c>
      <c r="AE14" s="122">
        <f>'Книга допущений'!E135*AE$12*(1+Риски!$B$11)</f>
        <v>611.52</v>
      </c>
      <c r="AF14" s="122">
        <f>'Книга допущений'!F135*AF$12*(1+Риски!$B$11)</f>
        <v>773.7600000000001</v>
      </c>
      <c r="AG14" s="122">
        <f>'Книга допущений'!G135*AG$12*(1+Риски!$B$11)</f>
        <v>655.19999999999993</v>
      </c>
      <c r="AH14" s="122">
        <f>'Книга допущений'!H135*AH$12*(1+Риски!$B$11)</f>
        <v>967.2</v>
      </c>
      <c r="AI14" s="122">
        <f>'Книга допущений'!I135*AI$12*(1+Риски!$B$11)</f>
        <v>1123.2</v>
      </c>
      <c r="AJ14" s="122">
        <f>'Книга допущений'!J135*AJ$12*(1+Риски!$B$11)</f>
        <v>1354.08</v>
      </c>
      <c r="AK14" s="122">
        <f>'Книга допущений'!K135*AK$12*(1+Риски!$B$11)</f>
        <v>1257.3600000000001</v>
      </c>
      <c r="AL14" s="122">
        <f>'Книга допущений'!L135*AL$12*(1+Риски!$B$11)</f>
        <v>936</v>
      </c>
      <c r="AM14" s="122">
        <f>'Книга допущений'!M135*AM$12*(1+Риски!$B$11)</f>
        <v>918.83999999999992</v>
      </c>
      <c r="AN14" s="122">
        <f>'Книга допущений'!N135*AN$12*(1+Риски!$B$11)</f>
        <v>655.19999999999993</v>
      </c>
      <c r="AO14" s="122">
        <f>'Книга допущений'!O135*AO$12*(1+Риски!$B$11)</f>
        <v>1402.44</v>
      </c>
      <c r="AP14" s="122">
        <f>'Книга допущений'!D135*AP$12*(1+Риски!$B$11)</f>
        <v>773.7600000000001</v>
      </c>
      <c r="AQ14" s="122">
        <f>'Книга допущений'!E135*AQ$12*(1+Риски!$B$11)</f>
        <v>611.52</v>
      </c>
      <c r="AR14" s="122">
        <f>'Книга допущений'!F135*AR$12*(1+Риски!$B$11)</f>
        <v>773.7600000000001</v>
      </c>
      <c r="AS14" s="122">
        <f>'Книга допущений'!G135*AS$12*(1+Риски!$B$11)</f>
        <v>655.19999999999993</v>
      </c>
      <c r="AT14" s="122">
        <f>'Книга допущений'!H135*AT$12*(1+Риски!$B$11)</f>
        <v>967.2</v>
      </c>
      <c r="AU14" s="122">
        <f>'Книга допущений'!I135*AU$12*(1+Риски!$B$11)</f>
        <v>1123.2</v>
      </c>
      <c r="AV14" s="122">
        <f>'Книга допущений'!J135*AV$12*(1+Риски!$B$11)</f>
        <v>1354.08</v>
      </c>
      <c r="AW14" s="122">
        <f>'Книга допущений'!K135*AW$12*(1+Риски!$B$11)</f>
        <v>1257.3600000000001</v>
      </c>
      <c r="AX14" s="122">
        <f>'Книга допущений'!L135*AX$12*(1+Риски!$B$11)</f>
        <v>936</v>
      </c>
      <c r="AY14" s="122">
        <f>'Книга допущений'!M135*AY$12*(1+Риски!$B$11)</f>
        <v>918.83999999999992</v>
      </c>
      <c r="AZ14" s="122">
        <f>'Книга допущений'!N135*AZ$12*(1+Риски!$B$11)</f>
        <v>655.19999999999993</v>
      </c>
      <c r="BA14" s="122">
        <f>'Книга допущений'!O135*BA$12*(1+Риски!$B$11)</f>
        <v>1402.44</v>
      </c>
      <c r="BB14" s="122">
        <f>'Книга допущений'!D135*BB$12*(1+Риски!$B$11)</f>
        <v>773.7600000000001</v>
      </c>
      <c r="BC14" s="122">
        <f>'Книга допущений'!E135*BC$12*(1+Риски!$B$11)</f>
        <v>611.52</v>
      </c>
      <c r="BD14" s="122">
        <f>'Книга допущений'!F135*BD$12*(1+Риски!$B$11)</f>
        <v>773.7600000000001</v>
      </c>
      <c r="BE14" s="122">
        <f>'Книга допущений'!G135*BE$12*(1+Риски!$B$11)</f>
        <v>655.19999999999993</v>
      </c>
      <c r="BF14" s="122">
        <f>'Книга допущений'!H135*BF$12*(1+Риски!$B$11)</f>
        <v>967.2</v>
      </c>
      <c r="BG14" s="122">
        <f>'Книга допущений'!I135*BG$12*(1+Риски!$B$11)</f>
        <v>1123.2</v>
      </c>
      <c r="BH14" s="122">
        <f>'Книга допущений'!J135*BH$12*(1+Риски!$B$11)</f>
        <v>1354.08</v>
      </c>
      <c r="BI14" s="122">
        <f>'Книга допущений'!K135*BI$12*(1+Риски!$B$11)</f>
        <v>1257.3600000000001</v>
      </c>
      <c r="BJ14" s="122">
        <f>'Книга допущений'!L135*BJ$12*(1+Риски!$B$11)</f>
        <v>936</v>
      </c>
      <c r="BK14" s="122">
        <f>'Книга допущений'!M135*BK$12*(1+Риски!$B$11)</f>
        <v>918.83999999999992</v>
      </c>
      <c r="BL14" s="122">
        <f>'Книга допущений'!N135*BL$12*(1+Риски!$B$11)</f>
        <v>655.19999999999993</v>
      </c>
      <c r="BM14" s="122">
        <f>'Книга допущений'!O135*BM$12*(1+Риски!$B$11)</f>
        <v>1402.44</v>
      </c>
      <c r="BN14" s="122">
        <f>'Книга допущений'!D135*BN$12*(1+Риски!$B$11)</f>
        <v>773.7600000000001</v>
      </c>
      <c r="BO14" s="122">
        <f>'Книга допущений'!E135*BO$12*(1+Риски!$B$11)</f>
        <v>611.52</v>
      </c>
      <c r="BP14" s="122">
        <f>'Книга допущений'!F135*BP$12*(1+Риски!$B$11)</f>
        <v>773.7600000000001</v>
      </c>
      <c r="BQ14" s="122">
        <f>'Книга допущений'!G135*BQ$12*(1+Риски!$B$11)</f>
        <v>655.19999999999993</v>
      </c>
      <c r="BR14" s="122">
        <f>'Книга допущений'!H135*BR$12*(1+Риски!$B$11)</f>
        <v>967.2</v>
      </c>
      <c r="BS14" s="122">
        <f>'Книга допущений'!I135*BS$12*(1+Риски!$B$11)</f>
        <v>1123.2</v>
      </c>
      <c r="BT14" s="122">
        <f>'Книга допущений'!J135*BT$12*(1+Риски!$B$11)</f>
        <v>1354.08</v>
      </c>
      <c r="BU14" s="122">
        <f>'Книга допущений'!K135*BU$12*(1+Риски!$B$11)</f>
        <v>1257.3600000000001</v>
      </c>
      <c r="BV14" s="122">
        <f>'Книга допущений'!L135*BV$12*(1+Риски!$B$11)</f>
        <v>936</v>
      </c>
      <c r="BW14" s="122">
        <f>'Книга допущений'!M135*BW$12*(1+Риски!$B$11)</f>
        <v>918.83999999999992</v>
      </c>
      <c r="BX14" s="122">
        <f>'Книга допущений'!N135*BX$12*(1+Риски!$B$11)</f>
        <v>655.19999999999993</v>
      </c>
      <c r="BY14" s="122">
        <f>'Книга допущений'!O135*BY$12*(1+Риски!$B$11)</f>
        <v>1402.44</v>
      </c>
    </row>
    <row r="15" spans="1:77" x14ac:dyDescent="0.25">
      <c r="A15" s="90" t="str">
        <f>'Книга допущений'!A136</f>
        <v>Питание</v>
      </c>
      <c r="B15" s="136" t="str">
        <f>'Книга допущений'!C136</f>
        <v>чел./дн.</v>
      </c>
      <c r="C15" s="122">
        <f>'Книга допущений'!M136*C$12*(1+Риски!$B$11)</f>
        <v>0</v>
      </c>
      <c r="D15" s="122">
        <f>'Книга допущений'!N136*D$12*(1+Риски!$B$11)</f>
        <v>0</v>
      </c>
      <c r="E15" s="122">
        <f>'Книга допущений'!O136*E$12*(1+Риски!$B$11)</f>
        <v>0</v>
      </c>
      <c r="F15" s="122">
        <f>'Книга допущений'!D136*F$12*(1+Риски!$B$11)</f>
        <v>0</v>
      </c>
      <c r="G15" s="122">
        <f>'Книга допущений'!E136*G$12*(1+Риски!$B$11)</f>
        <v>0</v>
      </c>
      <c r="H15" s="122">
        <f>'Книга допущений'!F136*H$12*(1+Риски!$B$11)</f>
        <v>0</v>
      </c>
      <c r="I15" s="122">
        <f>'Книга допущений'!G136*I$12*(1+Риски!$B$11)</f>
        <v>0</v>
      </c>
      <c r="J15" s="122">
        <f>'Книга допущений'!H136*J$12*(1+Риски!$B$11)</f>
        <v>0</v>
      </c>
      <c r="K15" s="122">
        <f>'Книга допущений'!I136*K$12*(1+Риски!$B$11)</f>
        <v>0</v>
      </c>
      <c r="L15" s="122">
        <f>'Книга допущений'!J136*L$12*(1+Риски!$B$11)</f>
        <v>947.85599999999988</v>
      </c>
      <c r="M15" s="122">
        <f>'Книга допущений'!K136*M$12*(1+Риски!$B$11)</f>
        <v>968.16720000000009</v>
      </c>
      <c r="N15" s="122">
        <f>'Книга допущений'!L136*N$12*(1+Риски!$B$11)</f>
        <v>786.24</v>
      </c>
      <c r="O15" s="122">
        <f>'Книга допущений'!M136*O$12*(1+Риски!$B$11)</f>
        <v>836.14440000000002</v>
      </c>
      <c r="P15" s="122">
        <f>'Книга допущений'!N136*P$12*(1+Риски!$B$11)</f>
        <v>642.09600000000012</v>
      </c>
      <c r="Q15" s="122">
        <f>'Книга допущений'!O136*Q$12*(1+Риски!$B$11)</f>
        <v>1472.5620000000004</v>
      </c>
      <c r="R15" s="122">
        <f>'Книга допущений'!D136*R$12*(1+Риски!$B$11)</f>
        <v>866.61120000000039</v>
      </c>
      <c r="S15" s="122">
        <f>'Книга допущений'!E136*S$12*(1+Риски!$B$11)</f>
        <v>727.70880000000022</v>
      </c>
      <c r="T15" s="122">
        <f>'Книга допущений'!F136*T$12*(1+Риски!$B$11)</f>
        <v>974.93760000000054</v>
      </c>
      <c r="U15" s="122">
        <f>'Книга допущений'!G136*U$12*(1+Риски!$B$11)</f>
        <v>871.41600000000028</v>
      </c>
      <c r="V15" s="122">
        <f>'Книга допущений'!H136*V$12*(1+Риски!$B$11)</f>
        <v>1354.0800000000006</v>
      </c>
      <c r="W15" s="122">
        <f>'Книга допущений'!I136*W$12*(1+Риски!$B$11)</f>
        <v>1572.48</v>
      </c>
      <c r="X15" s="122">
        <f>'Книга допущений'!J136*X$12*(1+Риски!$B$11)</f>
        <v>1895.7119999999998</v>
      </c>
      <c r="Y15" s="122">
        <f>'Книга допущений'!K136*Y$12*(1+Риски!$B$11)</f>
        <v>1760.3040000000001</v>
      </c>
      <c r="Z15" s="122">
        <f>'Книга допущений'!L136*Z$12*(1+Риски!$B$11)</f>
        <v>1310.3999999999999</v>
      </c>
      <c r="AA15" s="122">
        <f>'Книга допущений'!M136*AA$12*(1+Риски!$B$11)</f>
        <v>1286.3759999999997</v>
      </c>
      <c r="AB15" s="122">
        <f>'Книга допущений'!N136*AB$12*(1+Риски!$B$11)</f>
        <v>917.27999999999986</v>
      </c>
      <c r="AC15" s="122">
        <f>'Книга допущений'!O136*AC$12*(1+Риски!$B$11)</f>
        <v>1963.4159999999999</v>
      </c>
      <c r="AD15" s="122">
        <f>'Книга допущений'!D136*AD$12*(1+Риски!$B$11)</f>
        <v>1083.2640000000001</v>
      </c>
      <c r="AE15" s="122">
        <f>'Книга допущений'!E136*AE$12*(1+Риски!$B$11)</f>
        <v>856.12799999999993</v>
      </c>
      <c r="AF15" s="122">
        <f>'Книга допущений'!F136*AF$12*(1+Риски!$B$11)</f>
        <v>1083.2640000000001</v>
      </c>
      <c r="AG15" s="122">
        <f>'Книга допущений'!G136*AG$12*(1+Риски!$B$11)</f>
        <v>917.27999999999986</v>
      </c>
      <c r="AH15" s="122">
        <f>'Книга допущений'!H136*AH$12*(1+Риски!$B$11)</f>
        <v>1354.08</v>
      </c>
      <c r="AI15" s="122">
        <f>'Книга допущений'!I136*AI$12*(1+Риски!$B$11)</f>
        <v>1572.48</v>
      </c>
      <c r="AJ15" s="122">
        <f>'Книга допущений'!J136*AJ$12*(1+Риски!$B$11)</f>
        <v>1895.7119999999998</v>
      </c>
      <c r="AK15" s="122">
        <f>'Книга допущений'!K136*AK$12*(1+Риски!$B$11)</f>
        <v>1760.3040000000001</v>
      </c>
      <c r="AL15" s="122">
        <f>'Книга допущений'!L136*AL$12*(1+Риски!$B$11)</f>
        <v>1310.3999999999999</v>
      </c>
      <c r="AM15" s="122">
        <f>'Книга допущений'!M136*AM$12*(1+Риски!$B$11)</f>
        <v>1286.3759999999997</v>
      </c>
      <c r="AN15" s="122">
        <f>'Книга допущений'!N136*AN$12*(1+Риски!$B$11)</f>
        <v>917.27999999999986</v>
      </c>
      <c r="AO15" s="122">
        <f>'Книга допущений'!O136*AO$12*(1+Риски!$B$11)</f>
        <v>1963.4159999999999</v>
      </c>
      <c r="AP15" s="122">
        <f>'Книга допущений'!D136*AP$12*(1+Риски!$B$11)</f>
        <v>1083.2640000000001</v>
      </c>
      <c r="AQ15" s="122">
        <f>'Книга допущений'!E136*AQ$12*(1+Риски!$B$11)</f>
        <v>856.12799999999993</v>
      </c>
      <c r="AR15" s="122">
        <f>'Книга допущений'!F136*AR$12*(1+Риски!$B$11)</f>
        <v>1083.2640000000001</v>
      </c>
      <c r="AS15" s="122">
        <f>'Книга допущений'!G136*AS$12*(1+Риски!$B$11)</f>
        <v>917.27999999999986</v>
      </c>
      <c r="AT15" s="122">
        <f>'Книга допущений'!H136*AT$12*(1+Риски!$B$11)</f>
        <v>1354.08</v>
      </c>
      <c r="AU15" s="122">
        <f>'Книга допущений'!I136*AU$12*(1+Риски!$B$11)</f>
        <v>1572.48</v>
      </c>
      <c r="AV15" s="122">
        <f>'Книга допущений'!J136*AV$12*(1+Риски!$B$11)</f>
        <v>1895.7119999999998</v>
      </c>
      <c r="AW15" s="122">
        <f>'Книга допущений'!K136*AW$12*(1+Риски!$B$11)</f>
        <v>1760.3040000000001</v>
      </c>
      <c r="AX15" s="122">
        <f>'Книга допущений'!L136*AX$12*(1+Риски!$B$11)</f>
        <v>1310.3999999999999</v>
      </c>
      <c r="AY15" s="122">
        <f>'Книга допущений'!M136*AY$12*(1+Риски!$B$11)</f>
        <v>1286.3759999999997</v>
      </c>
      <c r="AZ15" s="122">
        <f>'Книга допущений'!N136*AZ$12*(1+Риски!$B$11)</f>
        <v>917.27999999999986</v>
      </c>
      <c r="BA15" s="122">
        <f>'Книга допущений'!O136*BA$12*(1+Риски!$B$11)</f>
        <v>1963.4159999999999</v>
      </c>
      <c r="BB15" s="122">
        <f>'Книга допущений'!D136*BB$12*(1+Риски!$B$11)</f>
        <v>1083.2640000000001</v>
      </c>
      <c r="BC15" s="122">
        <f>'Книга допущений'!E136*BC$12*(1+Риски!$B$11)</f>
        <v>856.12799999999993</v>
      </c>
      <c r="BD15" s="122">
        <f>'Книга допущений'!F136*BD$12*(1+Риски!$B$11)</f>
        <v>1083.2640000000001</v>
      </c>
      <c r="BE15" s="122">
        <f>'Книга допущений'!G136*BE$12*(1+Риски!$B$11)</f>
        <v>917.27999999999986</v>
      </c>
      <c r="BF15" s="122">
        <f>'Книга допущений'!H136*BF$12*(1+Риски!$B$11)</f>
        <v>1354.08</v>
      </c>
      <c r="BG15" s="122">
        <f>'Книга допущений'!I136*BG$12*(1+Риски!$B$11)</f>
        <v>1572.48</v>
      </c>
      <c r="BH15" s="122">
        <f>'Книга допущений'!J136*BH$12*(1+Риски!$B$11)</f>
        <v>1895.7119999999998</v>
      </c>
      <c r="BI15" s="122">
        <f>'Книга допущений'!K136*BI$12*(1+Риски!$B$11)</f>
        <v>1760.3040000000001</v>
      </c>
      <c r="BJ15" s="122">
        <f>'Книга допущений'!L136*BJ$12*(1+Риски!$B$11)</f>
        <v>1310.3999999999999</v>
      </c>
      <c r="BK15" s="122">
        <f>'Книга допущений'!M136*BK$12*(1+Риски!$B$11)</f>
        <v>1286.3759999999997</v>
      </c>
      <c r="BL15" s="122">
        <f>'Книга допущений'!N136*BL$12*(1+Риски!$B$11)</f>
        <v>917.27999999999986</v>
      </c>
      <c r="BM15" s="122">
        <f>'Книга допущений'!O136*BM$12*(1+Риски!$B$11)</f>
        <v>1963.4159999999999</v>
      </c>
      <c r="BN15" s="122">
        <f>'Книга допущений'!D136*BN$12*(1+Риски!$B$11)</f>
        <v>1083.2640000000001</v>
      </c>
      <c r="BO15" s="122">
        <f>'Книга допущений'!E136*BO$12*(1+Риски!$B$11)</f>
        <v>856.12799999999993</v>
      </c>
      <c r="BP15" s="122">
        <f>'Книга допущений'!F136*BP$12*(1+Риски!$B$11)</f>
        <v>1083.2640000000001</v>
      </c>
      <c r="BQ15" s="122">
        <f>'Книга допущений'!G136*BQ$12*(1+Риски!$B$11)</f>
        <v>917.27999999999986</v>
      </c>
      <c r="BR15" s="122">
        <f>'Книга допущений'!H136*BR$12*(1+Риски!$B$11)</f>
        <v>1354.08</v>
      </c>
      <c r="BS15" s="122">
        <f>'Книга допущений'!I136*BS$12*(1+Риски!$B$11)</f>
        <v>1572.48</v>
      </c>
      <c r="BT15" s="122">
        <f>'Книга допущений'!J136*BT$12*(1+Риски!$B$11)</f>
        <v>1895.7119999999998</v>
      </c>
      <c r="BU15" s="122">
        <f>'Книга допущений'!K136*BU$12*(1+Риски!$B$11)</f>
        <v>1760.3040000000001</v>
      </c>
      <c r="BV15" s="122">
        <f>'Книга допущений'!L136*BV$12*(1+Риски!$B$11)</f>
        <v>1310.3999999999999</v>
      </c>
      <c r="BW15" s="122">
        <f>'Книга допущений'!M136*BW$12*(1+Риски!$B$11)</f>
        <v>1286.3759999999997</v>
      </c>
      <c r="BX15" s="122">
        <f>'Книга допущений'!N136*BX$12*(1+Риски!$B$11)</f>
        <v>917.27999999999986</v>
      </c>
      <c r="BY15" s="122">
        <f>'Книга допущений'!O136*BY$12*(1+Риски!$B$11)</f>
        <v>1963.4159999999999</v>
      </c>
    </row>
    <row r="16" spans="1:77" x14ac:dyDescent="0.25">
      <c r="A16" s="90" t="str">
        <f>'Книга допущений'!A137</f>
        <v>Банный комплекс</v>
      </c>
      <c r="B16" s="136" t="str">
        <f>'Книга допущений'!C137</f>
        <v>чел./сеанс</v>
      </c>
      <c r="C16" s="122">
        <f>'Книга допущений'!M137*C$12*(1+Риски!$B$11)</f>
        <v>0</v>
      </c>
      <c r="D16" s="122">
        <f>'Книга допущений'!N137*D$12*(1+Риски!$B$11)</f>
        <v>0</v>
      </c>
      <c r="E16" s="122">
        <f>'Книга допущений'!O137*E$12*(1+Риски!$B$11)</f>
        <v>0</v>
      </c>
      <c r="F16" s="122">
        <f>'Книга допущений'!D137*F$12*(1+Риски!$B$11)</f>
        <v>0</v>
      </c>
      <c r="G16" s="122">
        <f>'Книга допущений'!E137*G$12*(1+Риски!$B$11)</f>
        <v>0</v>
      </c>
      <c r="H16" s="122">
        <f>'Книга допущений'!F137*H$12*(1+Риски!$B$11)</f>
        <v>0</v>
      </c>
      <c r="I16" s="122">
        <f>'Книга допущений'!G137*I$12*(1+Риски!$B$11)</f>
        <v>0</v>
      </c>
      <c r="J16" s="122">
        <f>'Книга допущений'!H137*J$12*(1+Риски!$B$11)</f>
        <v>0</v>
      </c>
      <c r="K16" s="122">
        <f>'Книга допущений'!I137*K$12*(1+Риски!$B$11)</f>
        <v>0</v>
      </c>
      <c r="L16" s="122">
        <f>'Книга допущений'!J137*L$12*(1+Риски!$B$11)</f>
        <v>677.04</v>
      </c>
      <c r="M16" s="122">
        <f>'Книга допущений'!K137*M$12*(1+Риски!$B$11)</f>
        <v>691.54800000000012</v>
      </c>
      <c r="N16" s="122">
        <f>'Книга допущений'!L137*N$12*(1+Риски!$B$11)</f>
        <v>561.60000000000014</v>
      </c>
      <c r="O16" s="122">
        <f>'Книга допущений'!M137*O$12*(1+Риски!$B$11)</f>
        <v>597.24600000000009</v>
      </c>
      <c r="P16" s="122">
        <f>'Книга допущений'!N137*P$12*(1+Риски!$B$11)</f>
        <v>458.64000000000004</v>
      </c>
      <c r="Q16" s="122">
        <f>'Книга допущений'!O137*Q$12*(1+Риски!$B$11)</f>
        <v>1051.8300000000004</v>
      </c>
      <c r="R16" s="122">
        <f>'Книга допущений'!D137*R$12*(1+Риски!$B$11)</f>
        <v>619.00800000000027</v>
      </c>
      <c r="S16" s="122">
        <f>'Книга допущений'!E137*S$12*(1+Риски!$B$11)</f>
        <v>519.79200000000014</v>
      </c>
      <c r="T16" s="122">
        <f>'Книга допущений'!F137*T$12*(1+Риски!$B$11)</f>
        <v>696.38400000000036</v>
      </c>
      <c r="U16" s="122">
        <f>'Книга допущений'!G137*U$12*(1+Риски!$B$11)</f>
        <v>622.44000000000017</v>
      </c>
      <c r="V16" s="122">
        <f>'Книга допущений'!H137*V$12*(1+Риски!$B$11)</f>
        <v>967.2000000000005</v>
      </c>
      <c r="W16" s="122">
        <f>'Книга допущений'!I137*W$12*(1+Риски!$B$11)</f>
        <v>1123.2</v>
      </c>
      <c r="X16" s="122">
        <f>'Книга допущений'!J137*X$12*(1+Риски!$B$11)</f>
        <v>1354.08</v>
      </c>
      <c r="Y16" s="122">
        <f>'Книга допущений'!K137*Y$12*(1+Риски!$B$11)</f>
        <v>1257.3600000000001</v>
      </c>
      <c r="Z16" s="122">
        <f>'Книга допущений'!L137*Z$12*(1+Риски!$B$11)</f>
        <v>936</v>
      </c>
      <c r="AA16" s="122">
        <f>'Книга допущений'!M137*AA$12*(1+Риски!$B$11)</f>
        <v>918.83999999999992</v>
      </c>
      <c r="AB16" s="122">
        <f>'Книга допущений'!N137*AB$12*(1+Риски!$B$11)</f>
        <v>655.19999999999993</v>
      </c>
      <c r="AC16" s="122">
        <f>'Книга допущений'!O137*AC$12*(1+Риски!$B$11)</f>
        <v>1402.44</v>
      </c>
      <c r="AD16" s="122">
        <f>'Книга допущений'!D137*AD$12*(1+Риски!$B$11)</f>
        <v>773.7600000000001</v>
      </c>
      <c r="AE16" s="122">
        <f>'Книга допущений'!E137*AE$12*(1+Риски!$B$11)</f>
        <v>611.52</v>
      </c>
      <c r="AF16" s="122">
        <f>'Книга допущений'!F137*AF$12*(1+Риски!$B$11)</f>
        <v>773.7600000000001</v>
      </c>
      <c r="AG16" s="122">
        <f>'Книга допущений'!G137*AG$12*(1+Риски!$B$11)</f>
        <v>655.19999999999993</v>
      </c>
      <c r="AH16" s="122">
        <f>'Книга допущений'!H137*AH$12*(1+Риски!$B$11)</f>
        <v>967.2</v>
      </c>
      <c r="AI16" s="122">
        <f>'Книга допущений'!I137*AI$12*(1+Риски!$B$11)</f>
        <v>1123.2</v>
      </c>
      <c r="AJ16" s="122">
        <f>'Книга допущений'!J137*AJ$12*(1+Риски!$B$11)</f>
        <v>1354.08</v>
      </c>
      <c r="AK16" s="122">
        <f>'Книга допущений'!K137*AK$12*(1+Риски!$B$11)</f>
        <v>1257.3600000000001</v>
      </c>
      <c r="AL16" s="122">
        <f>'Книга допущений'!L137*AL$12*(1+Риски!$B$11)</f>
        <v>936</v>
      </c>
      <c r="AM16" s="122">
        <f>'Книга допущений'!M137*AM$12*(1+Риски!$B$11)</f>
        <v>918.83999999999992</v>
      </c>
      <c r="AN16" s="122">
        <f>'Книга допущений'!N137*AN$12*(1+Риски!$B$11)</f>
        <v>655.19999999999993</v>
      </c>
      <c r="AO16" s="122">
        <f>'Книга допущений'!O137*AO$12*(1+Риски!$B$11)</f>
        <v>1402.44</v>
      </c>
      <c r="AP16" s="122">
        <f>'Книга допущений'!D137*AP$12*(1+Риски!$B$11)</f>
        <v>773.7600000000001</v>
      </c>
      <c r="AQ16" s="122">
        <f>'Книга допущений'!E137*AQ$12*(1+Риски!$B$11)</f>
        <v>611.52</v>
      </c>
      <c r="AR16" s="122">
        <f>'Книга допущений'!F137*AR$12*(1+Риски!$B$11)</f>
        <v>773.7600000000001</v>
      </c>
      <c r="AS16" s="122">
        <f>'Книга допущений'!G137*AS$12*(1+Риски!$B$11)</f>
        <v>655.19999999999993</v>
      </c>
      <c r="AT16" s="122">
        <f>'Книга допущений'!H137*AT$12*(1+Риски!$B$11)</f>
        <v>967.2</v>
      </c>
      <c r="AU16" s="122">
        <f>'Книга допущений'!I137*AU$12*(1+Риски!$B$11)</f>
        <v>1123.2</v>
      </c>
      <c r="AV16" s="122">
        <f>'Книга допущений'!J137*AV$12*(1+Риски!$B$11)</f>
        <v>1354.08</v>
      </c>
      <c r="AW16" s="122">
        <f>'Книга допущений'!K137*AW$12*(1+Риски!$B$11)</f>
        <v>1257.3600000000001</v>
      </c>
      <c r="AX16" s="122">
        <f>'Книга допущений'!L137*AX$12*(1+Риски!$B$11)</f>
        <v>936</v>
      </c>
      <c r="AY16" s="122">
        <f>'Книга допущений'!M137*AY$12*(1+Риски!$B$11)</f>
        <v>918.83999999999992</v>
      </c>
      <c r="AZ16" s="122">
        <f>'Книга допущений'!N137*AZ$12*(1+Риски!$B$11)</f>
        <v>655.19999999999993</v>
      </c>
      <c r="BA16" s="122">
        <f>'Книга допущений'!O137*BA$12*(1+Риски!$B$11)</f>
        <v>1402.44</v>
      </c>
      <c r="BB16" s="122">
        <f>'Книга допущений'!D137*BB$12*(1+Риски!$B$11)</f>
        <v>773.7600000000001</v>
      </c>
      <c r="BC16" s="122">
        <f>'Книга допущений'!E137*BC$12*(1+Риски!$B$11)</f>
        <v>611.52</v>
      </c>
      <c r="BD16" s="122">
        <f>'Книга допущений'!F137*BD$12*(1+Риски!$B$11)</f>
        <v>773.7600000000001</v>
      </c>
      <c r="BE16" s="122">
        <f>'Книга допущений'!G137*BE$12*(1+Риски!$B$11)</f>
        <v>655.19999999999993</v>
      </c>
      <c r="BF16" s="122">
        <f>'Книга допущений'!H137*BF$12*(1+Риски!$B$11)</f>
        <v>967.2</v>
      </c>
      <c r="BG16" s="122">
        <f>'Книга допущений'!I137*BG$12*(1+Риски!$B$11)</f>
        <v>1123.2</v>
      </c>
      <c r="BH16" s="122">
        <f>'Книга допущений'!J137*BH$12*(1+Риски!$B$11)</f>
        <v>1354.08</v>
      </c>
      <c r="BI16" s="122">
        <f>'Книга допущений'!K137*BI$12*(1+Риски!$B$11)</f>
        <v>1257.3600000000001</v>
      </c>
      <c r="BJ16" s="122">
        <f>'Книга допущений'!L137*BJ$12*(1+Риски!$B$11)</f>
        <v>936</v>
      </c>
      <c r="BK16" s="122">
        <f>'Книга допущений'!M137*BK$12*(1+Риски!$B$11)</f>
        <v>918.83999999999992</v>
      </c>
      <c r="BL16" s="122">
        <f>'Книга допущений'!N137*BL$12*(1+Риски!$B$11)</f>
        <v>655.19999999999993</v>
      </c>
      <c r="BM16" s="122">
        <f>'Книга допущений'!O137*BM$12*(1+Риски!$B$11)</f>
        <v>1402.44</v>
      </c>
      <c r="BN16" s="122">
        <f>'Книга допущений'!D137*BN$12*(1+Риски!$B$11)</f>
        <v>773.7600000000001</v>
      </c>
      <c r="BO16" s="122">
        <f>'Книга допущений'!E137*BO$12*(1+Риски!$B$11)</f>
        <v>611.52</v>
      </c>
      <c r="BP16" s="122">
        <f>'Книга допущений'!F137*BP$12*(1+Риски!$B$11)</f>
        <v>773.7600000000001</v>
      </c>
      <c r="BQ16" s="122">
        <f>'Книга допущений'!G137*BQ$12*(1+Риски!$B$11)</f>
        <v>655.19999999999993</v>
      </c>
      <c r="BR16" s="122">
        <f>'Книга допущений'!H137*BR$12*(1+Риски!$B$11)</f>
        <v>967.2</v>
      </c>
      <c r="BS16" s="122">
        <f>'Книга допущений'!I137*BS$12*(1+Риски!$B$11)</f>
        <v>1123.2</v>
      </c>
      <c r="BT16" s="122">
        <f>'Книга допущений'!J137*BT$12*(1+Риски!$B$11)</f>
        <v>1354.08</v>
      </c>
      <c r="BU16" s="122">
        <f>'Книга допущений'!K137*BU$12*(1+Риски!$B$11)</f>
        <v>1257.3600000000001</v>
      </c>
      <c r="BV16" s="122">
        <f>'Книга допущений'!L137*BV$12*(1+Риски!$B$11)</f>
        <v>936</v>
      </c>
      <c r="BW16" s="122">
        <f>'Книга допущений'!M137*BW$12*(1+Риски!$B$11)</f>
        <v>918.83999999999992</v>
      </c>
      <c r="BX16" s="122">
        <f>'Книга допущений'!N137*BX$12*(1+Риски!$B$11)</f>
        <v>655.19999999999993</v>
      </c>
      <c r="BY16" s="122">
        <f>'Книга допущений'!O137*BY$12*(1+Риски!$B$11)</f>
        <v>1402.44</v>
      </c>
    </row>
    <row r="17" spans="1:77" x14ac:dyDescent="0.25">
      <c r="A17" s="90" t="str">
        <f>'Книга допущений'!A138</f>
        <v>Прокат спортивного инвентаря</v>
      </c>
      <c r="B17" s="136" t="str">
        <f>'Книга допущений'!C138</f>
        <v>чел./сеанс</v>
      </c>
      <c r="C17" s="122">
        <f>'Книга допущений'!M138*C$12*(1+Риски!$B$11)</f>
        <v>0</v>
      </c>
      <c r="D17" s="122">
        <f>'Книга допущений'!N138*D$12*(1+Риски!$B$11)</f>
        <v>0</v>
      </c>
      <c r="E17" s="122">
        <f>'Книга допущений'!O138*E$12*(1+Риски!$B$11)</f>
        <v>0</v>
      </c>
      <c r="F17" s="122">
        <f>'Книга допущений'!D138*F$12*(1+Риски!$B$11)</f>
        <v>0</v>
      </c>
      <c r="G17" s="122">
        <f>'Книга допущений'!E138*G$12*(1+Риски!$B$11)</f>
        <v>0</v>
      </c>
      <c r="H17" s="122">
        <f>'Книга допущений'!F138*H$12*(1+Риски!$B$11)</f>
        <v>0</v>
      </c>
      <c r="I17" s="122">
        <f>'Книга допущений'!G138*I$12*(1+Риски!$B$11)</f>
        <v>0</v>
      </c>
      <c r="J17" s="122">
        <f>'Книга допущений'!H138*J$12*(1+Риски!$B$11)</f>
        <v>0</v>
      </c>
      <c r="K17" s="122">
        <f>'Книга допущений'!I138*K$12*(1+Риски!$B$11)</f>
        <v>0</v>
      </c>
      <c r="L17" s="122">
        <f>'Книга допущений'!J138*L$12*(1+Риски!$B$11)</f>
        <v>135.40799999999999</v>
      </c>
      <c r="M17" s="122">
        <f>'Книга допущений'!K138*M$12*(1+Риски!$B$11)</f>
        <v>138.30960000000002</v>
      </c>
      <c r="N17" s="122">
        <f>'Книга допущений'!L138*N$12*(1+Риски!$B$11)</f>
        <v>112.32000000000002</v>
      </c>
      <c r="O17" s="122">
        <f>'Книга допущений'!M138*O$12*(1+Риски!$B$11)</f>
        <v>119.44920000000002</v>
      </c>
      <c r="P17" s="122">
        <f>'Книга допущений'!N138*P$12*(1+Риски!$B$11)</f>
        <v>91.728000000000023</v>
      </c>
      <c r="Q17" s="122">
        <f>'Книга допущений'!O138*Q$12*(1+Риски!$B$11)</f>
        <v>210.36600000000007</v>
      </c>
      <c r="R17" s="122">
        <f>'Книга допущений'!D138*R$12*(1+Риски!$B$11)</f>
        <v>123.80160000000008</v>
      </c>
      <c r="S17" s="122">
        <f>'Книга допущений'!E138*S$12*(1+Риски!$B$11)</f>
        <v>103.95840000000004</v>
      </c>
      <c r="T17" s="122">
        <f>'Книга допущений'!F138*T$12*(1+Риски!$B$11)</f>
        <v>139.27680000000009</v>
      </c>
      <c r="U17" s="122">
        <f>'Книга допущений'!G138*U$12*(1+Риски!$B$11)</f>
        <v>124.48800000000004</v>
      </c>
      <c r="V17" s="122">
        <f>'Книга допущений'!H138*V$12*(1+Риски!$B$11)</f>
        <v>193.44000000000011</v>
      </c>
      <c r="W17" s="122">
        <f>'Книга допущений'!I138*W$12*(1+Риски!$B$11)</f>
        <v>224.64000000000001</v>
      </c>
      <c r="X17" s="122">
        <f>'Книга допущений'!J138*X$12*(1+Риски!$B$11)</f>
        <v>270.81599999999997</v>
      </c>
      <c r="Y17" s="122">
        <f>'Книга допущений'!K138*Y$12*(1+Риски!$B$11)</f>
        <v>251.47200000000004</v>
      </c>
      <c r="Z17" s="122">
        <f>'Книга допущений'!L138*Z$12*(1+Риски!$B$11)</f>
        <v>187.20000000000002</v>
      </c>
      <c r="AA17" s="122">
        <f>'Книга допущений'!M138*AA$12*(1+Риски!$B$11)</f>
        <v>183.768</v>
      </c>
      <c r="AB17" s="122">
        <f>'Книга допущений'!N138*AB$12*(1+Риски!$B$11)</f>
        <v>131.04</v>
      </c>
      <c r="AC17" s="122">
        <f>'Книга допущений'!O138*AC$12*(1+Риски!$B$11)</f>
        <v>280.488</v>
      </c>
      <c r="AD17" s="122">
        <f>'Книга допущений'!D138*AD$12*(1+Риски!$B$11)</f>
        <v>154.75200000000004</v>
      </c>
      <c r="AE17" s="122">
        <f>'Книга допущений'!E138*AE$12*(1+Риски!$B$11)</f>
        <v>122.304</v>
      </c>
      <c r="AF17" s="122">
        <f>'Книга допущений'!F138*AF$12*(1+Риски!$B$11)</f>
        <v>154.75200000000004</v>
      </c>
      <c r="AG17" s="122">
        <f>'Книга допущений'!G138*AG$12*(1+Риски!$B$11)</f>
        <v>131.04</v>
      </c>
      <c r="AH17" s="122">
        <f>'Книга допущений'!H138*AH$12*(1+Риски!$B$11)</f>
        <v>193.44000000000003</v>
      </c>
      <c r="AI17" s="122">
        <f>'Книга допущений'!I138*AI$12*(1+Риски!$B$11)</f>
        <v>224.64000000000001</v>
      </c>
      <c r="AJ17" s="122">
        <f>'Книга допущений'!J138*AJ$12*(1+Риски!$B$11)</f>
        <v>270.81599999999997</v>
      </c>
      <c r="AK17" s="122">
        <f>'Книга допущений'!K138*AK$12*(1+Риски!$B$11)</f>
        <v>251.47200000000004</v>
      </c>
      <c r="AL17" s="122">
        <f>'Книга допущений'!L138*AL$12*(1+Риски!$B$11)</f>
        <v>187.20000000000002</v>
      </c>
      <c r="AM17" s="122">
        <f>'Книга допущений'!M138*AM$12*(1+Риски!$B$11)</f>
        <v>183.768</v>
      </c>
      <c r="AN17" s="122">
        <f>'Книга допущений'!N138*AN$12*(1+Риски!$B$11)</f>
        <v>131.04</v>
      </c>
      <c r="AO17" s="122">
        <f>'Книга допущений'!O138*AO$12*(1+Риски!$B$11)</f>
        <v>280.488</v>
      </c>
      <c r="AP17" s="122">
        <f>'Книга допущений'!D138*AP$12*(1+Риски!$B$11)</f>
        <v>154.75200000000004</v>
      </c>
      <c r="AQ17" s="122">
        <f>'Книга допущений'!E138*AQ$12*(1+Риски!$B$11)</f>
        <v>122.304</v>
      </c>
      <c r="AR17" s="122">
        <f>'Книга допущений'!F138*AR$12*(1+Риски!$B$11)</f>
        <v>154.75200000000004</v>
      </c>
      <c r="AS17" s="122">
        <f>'Книга допущений'!G138*AS$12*(1+Риски!$B$11)</f>
        <v>131.04</v>
      </c>
      <c r="AT17" s="122">
        <f>'Книга допущений'!H138*AT$12*(1+Риски!$B$11)</f>
        <v>193.44000000000003</v>
      </c>
      <c r="AU17" s="122">
        <f>'Книга допущений'!I138*AU$12*(1+Риски!$B$11)</f>
        <v>224.64000000000001</v>
      </c>
      <c r="AV17" s="122">
        <f>'Книга допущений'!J138*AV$12*(1+Риски!$B$11)</f>
        <v>270.81599999999997</v>
      </c>
      <c r="AW17" s="122">
        <f>'Книга допущений'!K138*AW$12*(1+Риски!$B$11)</f>
        <v>251.47200000000004</v>
      </c>
      <c r="AX17" s="122">
        <f>'Книга допущений'!L138*AX$12*(1+Риски!$B$11)</f>
        <v>187.20000000000002</v>
      </c>
      <c r="AY17" s="122">
        <f>'Книга допущений'!M138*AY$12*(1+Риски!$B$11)</f>
        <v>183.768</v>
      </c>
      <c r="AZ17" s="122">
        <f>'Книга допущений'!N138*AZ$12*(1+Риски!$B$11)</f>
        <v>131.04</v>
      </c>
      <c r="BA17" s="122">
        <f>'Книга допущений'!O138*BA$12*(1+Риски!$B$11)</f>
        <v>280.488</v>
      </c>
      <c r="BB17" s="122">
        <f>'Книга допущений'!D138*BB$12*(1+Риски!$B$11)</f>
        <v>154.75200000000004</v>
      </c>
      <c r="BC17" s="122">
        <f>'Книга допущений'!E138*BC$12*(1+Риски!$B$11)</f>
        <v>122.304</v>
      </c>
      <c r="BD17" s="122">
        <f>'Книга допущений'!F138*BD$12*(1+Риски!$B$11)</f>
        <v>154.75200000000004</v>
      </c>
      <c r="BE17" s="122">
        <f>'Книга допущений'!G138*BE$12*(1+Риски!$B$11)</f>
        <v>131.04</v>
      </c>
      <c r="BF17" s="122">
        <f>'Книга допущений'!H138*BF$12*(1+Риски!$B$11)</f>
        <v>193.44000000000003</v>
      </c>
      <c r="BG17" s="122">
        <f>'Книга допущений'!I138*BG$12*(1+Риски!$B$11)</f>
        <v>224.64000000000001</v>
      </c>
      <c r="BH17" s="122">
        <f>'Книга допущений'!J138*BH$12*(1+Риски!$B$11)</f>
        <v>270.81599999999997</v>
      </c>
      <c r="BI17" s="122">
        <f>'Книга допущений'!K138*BI$12*(1+Риски!$B$11)</f>
        <v>251.47200000000004</v>
      </c>
      <c r="BJ17" s="122">
        <f>'Книга допущений'!L138*BJ$12*(1+Риски!$B$11)</f>
        <v>187.20000000000002</v>
      </c>
      <c r="BK17" s="122">
        <f>'Книга допущений'!M138*BK$12*(1+Риски!$B$11)</f>
        <v>183.768</v>
      </c>
      <c r="BL17" s="122">
        <f>'Книга допущений'!N138*BL$12*(1+Риски!$B$11)</f>
        <v>131.04</v>
      </c>
      <c r="BM17" s="122">
        <f>'Книга допущений'!O138*BM$12*(1+Риски!$B$11)</f>
        <v>280.488</v>
      </c>
      <c r="BN17" s="122">
        <f>'Книга допущений'!D138*BN$12*(1+Риски!$B$11)</f>
        <v>154.75200000000004</v>
      </c>
      <c r="BO17" s="122">
        <f>'Книга допущений'!E138*BO$12*(1+Риски!$B$11)</f>
        <v>122.304</v>
      </c>
      <c r="BP17" s="122">
        <f>'Книга допущений'!F138*BP$12*(1+Риски!$B$11)</f>
        <v>154.75200000000004</v>
      </c>
      <c r="BQ17" s="122">
        <f>'Книга допущений'!G138*BQ$12*(1+Риски!$B$11)</f>
        <v>131.04</v>
      </c>
      <c r="BR17" s="122">
        <f>'Книга допущений'!H138*BR$12*(1+Риски!$B$11)</f>
        <v>193.44000000000003</v>
      </c>
      <c r="BS17" s="122">
        <f>'Книга допущений'!I138*BS$12*(1+Риски!$B$11)</f>
        <v>224.64000000000001</v>
      </c>
      <c r="BT17" s="122">
        <f>'Книга допущений'!J138*BT$12*(1+Риски!$B$11)</f>
        <v>270.81599999999997</v>
      </c>
      <c r="BU17" s="122">
        <f>'Книга допущений'!K138*BU$12*(1+Риски!$B$11)</f>
        <v>251.47200000000004</v>
      </c>
      <c r="BV17" s="122">
        <f>'Книга допущений'!L138*BV$12*(1+Риски!$B$11)</f>
        <v>187.20000000000002</v>
      </c>
      <c r="BW17" s="122">
        <f>'Книга допущений'!M138*BW$12*(1+Риски!$B$11)</f>
        <v>183.768</v>
      </c>
      <c r="BX17" s="122">
        <f>'Книга допущений'!N138*BX$12*(1+Риски!$B$11)</f>
        <v>131.04</v>
      </c>
      <c r="BY17" s="122">
        <f>'Книга допущений'!O138*BY$12*(1+Риски!$B$11)</f>
        <v>280.488</v>
      </c>
    </row>
    <row r="18" spans="1:77" x14ac:dyDescent="0.25">
      <c r="A18" s="90" t="str">
        <f>'Книга допущений'!A139</f>
        <v>Барбекю-парк</v>
      </c>
      <c r="B18" s="136" t="str">
        <f>'Книга допущений'!C139</f>
        <v>домик/сутки</v>
      </c>
      <c r="C18" s="122">
        <f>'Книга допущений'!M139*C$12*(1+Риски!$B$11)</f>
        <v>0</v>
      </c>
      <c r="D18" s="122">
        <f>'Книга допущений'!N139*D$12*(1+Риски!$B$11)</f>
        <v>0</v>
      </c>
      <c r="E18" s="122">
        <f>'Книга допущений'!O139*E$12*(1+Риски!$B$11)</f>
        <v>0</v>
      </c>
      <c r="F18" s="122">
        <f>'Книга допущений'!D139*F$12*(1+Риски!$B$11)</f>
        <v>0</v>
      </c>
      <c r="G18" s="122">
        <f>'Книга допущений'!E139*G$12*(1+Риски!$B$11)</f>
        <v>0</v>
      </c>
      <c r="H18" s="122">
        <f>'Книга допущений'!F139*H$12*(1+Риски!$B$11)</f>
        <v>0</v>
      </c>
      <c r="I18" s="122">
        <f>'Книга допущений'!G139*I$12*(1+Риски!$B$11)</f>
        <v>0</v>
      </c>
      <c r="J18" s="122">
        <f>'Книга допущений'!H139*J$12*(1+Риски!$B$11)</f>
        <v>0</v>
      </c>
      <c r="K18" s="122">
        <f>'Книга допущений'!I139*K$12*(1+Риски!$B$11)</f>
        <v>0</v>
      </c>
      <c r="L18" s="122">
        <f>'Книга допущений'!J139*L$12*(1+Риски!$B$11)</f>
        <v>56.42</v>
      </c>
      <c r="M18" s="122">
        <f>'Книга допущений'!K139*M$12*(1+Риски!$B$11)</f>
        <v>57.629000000000012</v>
      </c>
      <c r="N18" s="122">
        <f>'Книга допущений'!L139*N$12*(1+Риски!$B$11)</f>
        <v>46.800000000000004</v>
      </c>
      <c r="O18" s="122">
        <f>'Книга допущений'!M139*O$12*(1+Риски!$B$11)</f>
        <v>49.770500000000013</v>
      </c>
      <c r="P18" s="122">
        <f>'Книга допущений'!N139*P$12*(1+Риски!$B$11)</f>
        <v>38.220000000000006</v>
      </c>
      <c r="Q18" s="122">
        <f>'Книга допущений'!O139*Q$12*(1+Риски!$B$11)</f>
        <v>87.652500000000032</v>
      </c>
      <c r="R18" s="122">
        <f>'Книга допущений'!D139*R$12*(1+Риски!$B$11)</f>
        <v>51.584000000000017</v>
      </c>
      <c r="S18" s="122">
        <f>'Книга допущений'!E139*S$12*(1+Риски!$B$11)</f>
        <v>43.31600000000001</v>
      </c>
      <c r="T18" s="122">
        <f>'Книга допущений'!F139*T$12*(1+Риски!$B$11)</f>
        <v>58.032000000000025</v>
      </c>
      <c r="U18" s="122">
        <f>'Книга допущений'!G139*U$12*(1+Риски!$B$11)</f>
        <v>51.870000000000019</v>
      </c>
      <c r="V18" s="122">
        <f>'Книга допущений'!H139*V$12*(1+Риски!$B$11)</f>
        <v>80.600000000000051</v>
      </c>
      <c r="W18" s="122">
        <f>'Книга допущений'!I139*W$12*(1+Риски!$B$11)</f>
        <v>93.6</v>
      </c>
      <c r="X18" s="122">
        <f>'Книга допущений'!J139*X$12*(1+Риски!$B$11)</f>
        <v>112.84</v>
      </c>
      <c r="Y18" s="122">
        <f>'Книга допущений'!K139*Y$12*(1+Риски!$B$11)</f>
        <v>104.78000000000002</v>
      </c>
      <c r="Z18" s="122">
        <f>'Книга допущений'!L139*Z$12*(1+Риски!$B$11)</f>
        <v>78</v>
      </c>
      <c r="AA18" s="122">
        <f>'Книга допущений'!M139*AA$12*(1+Риски!$B$11)</f>
        <v>76.570000000000007</v>
      </c>
      <c r="AB18" s="122">
        <f>'Книга допущений'!N139*AB$12*(1+Риски!$B$11)</f>
        <v>54.599999999999994</v>
      </c>
      <c r="AC18" s="122">
        <f>'Книга допущений'!O139*AC$12*(1+Риски!$B$11)</f>
        <v>116.87</v>
      </c>
      <c r="AD18" s="122">
        <f>'Книга допущений'!D139*AD$12*(1+Риски!$B$11)</f>
        <v>64.48</v>
      </c>
      <c r="AE18" s="122">
        <f>'Книга допущений'!E139*AE$12*(1+Риски!$B$11)</f>
        <v>50.959999999999994</v>
      </c>
      <c r="AF18" s="122">
        <f>'Книга допущений'!F139*AF$12*(1+Риски!$B$11)</f>
        <v>64.48</v>
      </c>
      <c r="AG18" s="122">
        <f>'Книга допущений'!G139*AG$12*(1+Риски!$B$11)</f>
        <v>54.599999999999994</v>
      </c>
      <c r="AH18" s="122">
        <f>'Книга допущений'!H139*AH$12*(1+Риски!$B$11)</f>
        <v>80.600000000000009</v>
      </c>
      <c r="AI18" s="122">
        <f>'Книга допущений'!I139*AI$12*(1+Риски!$B$11)</f>
        <v>93.6</v>
      </c>
      <c r="AJ18" s="122">
        <f>'Книга допущений'!J139*AJ$12*(1+Риски!$B$11)</f>
        <v>112.84</v>
      </c>
      <c r="AK18" s="122">
        <f>'Книга допущений'!K139*AK$12*(1+Риски!$B$11)</f>
        <v>104.78000000000002</v>
      </c>
      <c r="AL18" s="122">
        <f>'Книга допущений'!L139*AL$12*(1+Риски!$B$11)</f>
        <v>78</v>
      </c>
      <c r="AM18" s="122">
        <f>'Книга допущений'!M139*AM$12*(1+Риски!$B$11)</f>
        <v>76.570000000000007</v>
      </c>
      <c r="AN18" s="122">
        <f>'Книга допущений'!N139*AN$12*(1+Риски!$B$11)</f>
        <v>54.599999999999994</v>
      </c>
      <c r="AO18" s="122">
        <f>'Книга допущений'!O139*AO$12*(1+Риски!$B$11)</f>
        <v>116.87</v>
      </c>
      <c r="AP18" s="122">
        <f>'Книга допущений'!D139*AP$12*(1+Риски!$B$11)</f>
        <v>64.48</v>
      </c>
      <c r="AQ18" s="122">
        <f>'Книга допущений'!E139*AQ$12*(1+Риски!$B$11)</f>
        <v>50.959999999999994</v>
      </c>
      <c r="AR18" s="122">
        <f>'Книга допущений'!F139*AR$12*(1+Риски!$B$11)</f>
        <v>64.48</v>
      </c>
      <c r="AS18" s="122">
        <f>'Книга допущений'!G139*AS$12*(1+Риски!$B$11)</f>
        <v>54.599999999999994</v>
      </c>
      <c r="AT18" s="122">
        <f>'Книга допущений'!H139*AT$12*(1+Риски!$B$11)</f>
        <v>80.600000000000009</v>
      </c>
      <c r="AU18" s="122">
        <f>'Книга допущений'!I139*AU$12*(1+Риски!$B$11)</f>
        <v>93.6</v>
      </c>
      <c r="AV18" s="122">
        <f>'Книга допущений'!J139*AV$12*(1+Риски!$B$11)</f>
        <v>112.84</v>
      </c>
      <c r="AW18" s="122">
        <f>'Книга допущений'!K139*AW$12*(1+Риски!$B$11)</f>
        <v>104.78000000000002</v>
      </c>
      <c r="AX18" s="122">
        <f>'Книга допущений'!L139*AX$12*(1+Риски!$B$11)</f>
        <v>78</v>
      </c>
      <c r="AY18" s="122">
        <f>'Книга допущений'!M139*AY$12*(1+Риски!$B$11)</f>
        <v>76.570000000000007</v>
      </c>
      <c r="AZ18" s="122">
        <f>'Книга допущений'!N139*AZ$12*(1+Риски!$B$11)</f>
        <v>54.599999999999994</v>
      </c>
      <c r="BA18" s="122">
        <f>'Книга допущений'!O139*BA$12*(1+Риски!$B$11)</f>
        <v>116.87</v>
      </c>
      <c r="BB18" s="122">
        <f>'Книга допущений'!D139*BB$12*(1+Риски!$B$11)</f>
        <v>64.48</v>
      </c>
      <c r="BC18" s="122">
        <f>'Книга допущений'!E139*BC$12*(1+Риски!$B$11)</f>
        <v>50.959999999999994</v>
      </c>
      <c r="BD18" s="122">
        <f>'Книга допущений'!F139*BD$12*(1+Риски!$B$11)</f>
        <v>64.48</v>
      </c>
      <c r="BE18" s="122">
        <f>'Книга допущений'!G139*BE$12*(1+Риски!$B$11)</f>
        <v>54.599999999999994</v>
      </c>
      <c r="BF18" s="122">
        <f>'Книга допущений'!H139*BF$12*(1+Риски!$B$11)</f>
        <v>80.600000000000009</v>
      </c>
      <c r="BG18" s="122">
        <f>'Книга допущений'!I139*BG$12*(1+Риски!$B$11)</f>
        <v>93.6</v>
      </c>
      <c r="BH18" s="122">
        <f>'Книга допущений'!J139*BH$12*(1+Риски!$B$11)</f>
        <v>112.84</v>
      </c>
      <c r="BI18" s="122">
        <f>'Книга допущений'!K139*BI$12*(1+Риски!$B$11)</f>
        <v>104.78000000000002</v>
      </c>
      <c r="BJ18" s="122">
        <f>'Книга допущений'!L139*BJ$12*(1+Риски!$B$11)</f>
        <v>78</v>
      </c>
      <c r="BK18" s="122">
        <f>'Книга допущений'!M139*BK$12*(1+Риски!$B$11)</f>
        <v>76.570000000000007</v>
      </c>
      <c r="BL18" s="122">
        <f>'Книга допущений'!N139*BL$12*(1+Риски!$B$11)</f>
        <v>54.599999999999994</v>
      </c>
      <c r="BM18" s="122">
        <f>'Книга допущений'!O139*BM$12*(1+Риски!$B$11)</f>
        <v>116.87</v>
      </c>
      <c r="BN18" s="122">
        <f>'Книга допущений'!D139*BN$12*(1+Риски!$B$11)</f>
        <v>64.48</v>
      </c>
      <c r="BO18" s="122">
        <f>'Книга допущений'!E139*BO$12*(1+Риски!$B$11)</f>
        <v>50.959999999999994</v>
      </c>
      <c r="BP18" s="122">
        <f>'Книга допущений'!F139*BP$12*(1+Риски!$B$11)</f>
        <v>64.48</v>
      </c>
      <c r="BQ18" s="122">
        <f>'Книга допущений'!G139*BQ$12*(1+Риски!$B$11)</f>
        <v>54.599999999999994</v>
      </c>
      <c r="BR18" s="122">
        <f>'Книга допущений'!H139*BR$12*(1+Риски!$B$11)</f>
        <v>80.600000000000009</v>
      </c>
      <c r="BS18" s="122">
        <f>'Книга допущений'!I139*BS$12*(1+Риски!$B$11)</f>
        <v>93.6</v>
      </c>
      <c r="BT18" s="122">
        <f>'Книга допущений'!J139*BT$12*(1+Риски!$B$11)</f>
        <v>112.84</v>
      </c>
      <c r="BU18" s="122">
        <f>'Книга допущений'!K139*BU$12*(1+Риски!$B$11)</f>
        <v>104.78000000000002</v>
      </c>
      <c r="BV18" s="122">
        <f>'Книга допущений'!L139*BV$12*(1+Риски!$B$11)</f>
        <v>78</v>
      </c>
      <c r="BW18" s="122">
        <f>'Книга допущений'!M139*BW$12*(1+Риски!$B$11)</f>
        <v>76.570000000000007</v>
      </c>
      <c r="BX18" s="122">
        <f>'Книга допущений'!N139*BX$12*(1+Риски!$B$11)</f>
        <v>54.599999999999994</v>
      </c>
      <c r="BY18" s="122">
        <f>'Книга допущений'!O139*BY$12*(1+Риски!$B$11)</f>
        <v>116.87</v>
      </c>
    </row>
    <row r="19" spans="1:77" ht="12.75" customHeight="1" x14ac:dyDescent="0.25">
      <c r="A19" s="369" t="s">
        <v>616</v>
      </c>
      <c r="B19" s="361"/>
      <c r="C19" s="370">
        <f>C14/('Книга допущений'!$B$45*C10)</f>
        <v>0</v>
      </c>
      <c r="D19" s="370">
        <f>D14/('Книга допущений'!$B$45*D10)</f>
        <v>0</v>
      </c>
      <c r="E19" s="370">
        <f>E14/('Книга допущений'!$B$45*E10)</f>
        <v>0</v>
      </c>
      <c r="F19" s="370">
        <f>F14/('Книга допущений'!$B$45*F10)</f>
        <v>0</v>
      </c>
      <c r="G19" s="370">
        <f>G14/('Книга допущений'!$B$45*G10)</f>
        <v>0</v>
      </c>
      <c r="H19" s="370">
        <f>H14/('Книга допущений'!$B$45*H10)</f>
        <v>0</v>
      </c>
      <c r="I19" s="370">
        <f>I14/('Книга допущений'!$B$45*I10)</f>
        <v>0</v>
      </c>
      <c r="J19" s="370">
        <f>J14/('Книга допущений'!$B$45*J10)</f>
        <v>0</v>
      </c>
      <c r="K19" s="370">
        <f>K14/('Книга допущений'!$B$45*K10)</f>
        <v>0</v>
      </c>
      <c r="L19" s="370">
        <f>L14/('Книга допущений'!$B$45*L10)</f>
        <v>0.45499999999999996</v>
      </c>
      <c r="M19" s="370">
        <f>M14/('Книга допущений'!$B$45*M10)</f>
        <v>0.46475000000000005</v>
      </c>
      <c r="N19" s="370">
        <f>N14/('Книга допущений'!$B$45*N10)</f>
        <v>0.39000000000000007</v>
      </c>
      <c r="O19" s="370">
        <f>O14/('Книга допущений'!$B$45*O10)</f>
        <v>0.40137500000000004</v>
      </c>
      <c r="P19" s="370">
        <f>P14/('Книга допущений'!$B$45*P10)</f>
        <v>0.31850000000000001</v>
      </c>
      <c r="Q19" s="370">
        <f>Q14/('Книга допущений'!$B$45*Q10)</f>
        <v>0.70687500000000025</v>
      </c>
      <c r="R19" s="370">
        <f>R14/('Книга допущений'!$B$45*R10)</f>
        <v>0.4160000000000002</v>
      </c>
      <c r="S19" s="370">
        <f>S14/('Книга допущений'!$B$45*S10)</f>
        <v>0.38675000000000009</v>
      </c>
      <c r="T19" s="370">
        <f>T14/('Книга допущений'!$B$45*T10)</f>
        <v>0.46800000000000025</v>
      </c>
      <c r="U19" s="370">
        <f>U14/('Книга допущений'!$B$45*U10)</f>
        <v>0.43225000000000013</v>
      </c>
      <c r="V19" s="370">
        <f>V14/('Книга допущений'!$B$45*V10)</f>
        <v>0.65000000000000036</v>
      </c>
      <c r="W19" s="370">
        <f>W14/('Книга допущений'!$B$45*W10)</f>
        <v>0.78</v>
      </c>
      <c r="X19" s="370">
        <f>X14/('Книга допущений'!$B$45*X10)</f>
        <v>0.90999999999999992</v>
      </c>
      <c r="Y19" s="370">
        <f>Y14/('Книга допущений'!$B$45*Y10)</f>
        <v>0.84500000000000008</v>
      </c>
      <c r="Z19" s="370">
        <f>Z14/('Книга допущений'!$B$45*Z10)</f>
        <v>0.65</v>
      </c>
      <c r="AA19" s="370">
        <f>AA14/('Книга допущений'!$B$45*AA10)</f>
        <v>0.61749999999999994</v>
      </c>
      <c r="AB19" s="370">
        <f>AB14/('Книга допущений'!$B$45*AB10)</f>
        <v>0.45499999999999996</v>
      </c>
      <c r="AC19" s="370">
        <f>AC14/('Книга допущений'!$B$45*AC10)</f>
        <v>0.9425</v>
      </c>
      <c r="AD19" s="370">
        <f>AD14/('Книга допущений'!$B$45*AD10)</f>
        <v>0.52</v>
      </c>
      <c r="AE19" s="370">
        <f>AE14/('Книга допущений'!$B$45*AE10)</f>
        <v>0.45499999999999996</v>
      </c>
      <c r="AF19" s="370">
        <f>AF14/('Книга допущений'!$B$45*AF10)</f>
        <v>0.52</v>
      </c>
      <c r="AG19" s="370">
        <f>AG14/('Книга допущений'!$B$45*AG10)</f>
        <v>0.45499999999999996</v>
      </c>
      <c r="AH19" s="370">
        <f>AH14/('Книга допущений'!$B$45*AH10)</f>
        <v>0.65</v>
      </c>
      <c r="AI19" s="370">
        <f>AI14/('Книга допущений'!$B$45*AI10)</f>
        <v>0.78</v>
      </c>
      <c r="AJ19" s="370">
        <f>AJ14/('Книга допущений'!$B$45*AJ10)</f>
        <v>0.90999999999999992</v>
      </c>
      <c r="AK19" s="370">
        <f>AK14/('Книга допущений'!$B$45*AK10)</f>
        <v>0.84500000000000008</v>
      </c>
      <c r="AL19" s="370">
        <f>AL14/('Книга допущений'!$B$45*AL10)</f>
        <v>0.65</v>
      </c>
      <c r="AM19" s="370">
        <f>AM14/('Книга допущений'!$B$45*AM10)</f>
        <v>0.61749999999999994</v>
      </c>
      <c r="AN19" s="370">
        <f>AN14/('Книга допущений'!$B$45*AN10)</f>
        <v>0.45499999999999996</v>
      </c>
      <c r="AO19" s="370">
        <f>AO14/('Книга допущений'!$B$45*AO10)</f>
        <v>0.9425</v>
      </c>
      <c r="AP19" s="370">
        <f>AP14/('Книга допущений'!$B$45*AP10)</f>
        <v>0.52</v>
      </c>
      <c r="AQ19" s="370">
        <f>AQ14/('Книга допущений'!$B$45*AQ10)</f>
        <v>0.45499999999999996</v>
      </c>
      <c r="AR19" s="370">
        <f>AR14/('Книга допущений'!$B$45*AR10)</f>
        <v>0.52</v>
      </c>
      <c r="AS19" s="370">
        <f>AS14/('Книга допущений'!$B$45*AS10)</f>
        <v>0.45499999999999996</v>
      </c>
      <c r="AT19" s="370">
        <f>AT14/('Книга допущений'!$B$45*AT10)</f>
        <v>0.65</v>
      </c>
      <c r="AU19" s="370">
        <f>AU14/('Книга допущений'!$B$45*AU10)</f>
        <v>0.78</v>
      </c>
      <c r="AV19" s="370">
        <f>AV14/('Книга допущений'!$B$45*AV10)</f>
        <v>0.90999999999999992</v>
      </c>
      <c r="AW19" s="370">
        <f>AW14/('Книга допущений'!$B$45*AW10)</f>
        <v>0.84500000000000008</v>
      </c>
      <c r="AX19" s="370">
        <f>AX14/('Книга допущений'!$B$45*AX10)</f>
        <v>0.65</v>
      </c>
      <c r="AY19" s="370">
        <f>AY14/('Книга допущений'!$B$45*AY10)</f>
        <v>0.61749999999999994</v>
      </c>
      <c r="AZ19" s="370">
        <f>AZ14/('Книга допущений'!$B$45*AZ10)</f>
        <v>0.45499999999999996</v>
      </c>
      <c r="BA19" s="370">
        <f>BA14/('Книга допущений'!$B$45*BA10)</f>
        <v>0.9425</v>
      </c>
      <c r="BB19" s="370">
        <f>BB14/('Книга допущений'!$B$45*BB10)</f>
        <v>0.52</v>
      </c>
      <c r="BC19" s="370">
        <f>BC14/('Книга допущений'!$B$45*BC10)</f>
        <v>0.45499999999999996</v>
      </c>
      <c r="BD19" s="370">
        <f>BD14/('Книга допущений'!$B$45*BD10)</f>
        <v>0.52</v>
      </c>
      <c r="BE19" s="370">
        <f>BE14/('Книга допущений'!$B$45*BE10)</f>
        <v>0.45499999999999996</v>
      </c>
      <c r="BF19" s="370">
        <f>BF14/('Книга допущений'!$B$45*BF10)</f>
        <v>0.65</v>
      </c>
      <c r="BG19" s="370">
        <f>BG14/('Книга допущений'!$B$45*BG10)</f>
        <v>0.78</v>
      </c>
      <c r="BH19" s="370">
        <f>BH14/('Книга допущений'!$B$45*BH10)</f>
        <v>0.90999999999999992</v>
      </c>
      <c r="BI19" s="370">
        <f>BI14/('Книга допущений'!$B$45*BI10)</f>
        <v>0.84500000000000008</v>
      </c>
      <c r="BJ19" s="370">
        <f>BJ14/('Книга допущений'!$B$45*BJ10)</f>
        <v>0.65</v>
      </c>
      <c r="BK19" s="370">
        <f>BK14/('Книга допущений'!$B$45*BK10)</f>
        <v>0.61749999999999994</v>
      </c>
      <c r="BL19" s="370">
        <f>BL14/('Книга допущений'!$B$45*BL10)</f>
        <v>0.45499999999999996</v>
      </c>
      <c r="BM19" s="370">
        <f>BM14/('Книга допущений'!$B$45*BM10)</f>
        <v>0.9425</v>
      </c>
      <c r="BN19" s="370">
        <f>BN14/('Книга допущений'!$B$45*BN10)</f>
        <v>0.52</v>
      </c>
      <c r="BO19" s="370">
        <f>BO14/('Книга допущений'!$B$45*BO10)</f>
        <v>0.45499999999999996</v>
      </c>
      <c r="BP19" s="370">
        <f>BP14/('Книга допущений'!$B$45*BP10)</f>
        <v>0.52</v>
      </c>
      <c r="BQ19" s="370">
        <f>BQ14/('Книга допущений'!$B$45*BQ10)</f>
        <v>0.45499999999999996</v>
      </c>
      <c r="BR19" s="370">
        <f>BR14/('Книга допущений'!$B$45*BR10)</f>
        <v>0.65</v>
      </c>
      <c r="BS19" s="370">
        <f>BS14/('Книга допущений'!$B$45*BS10)</f>
        <v>0.78</v>
      </c>
      <c r="BT19" s="370">
        <f>BT14/('Книга допущений'!$B$45*BT10)</f>
        <v>0.90999999999999992</v>
      </c>
      <c r="BU19" s="370">
        <f>BU14/('Книга допущений'!$B$45*BU10)</f>
        <v>0.84500000000000008</v>
      </c>
      <c r="BV19" s="370">
        <f>BV14/('Книга допущений'!$B$45*BV10)</f>
        <v>0.65</v>
      </c>
      <c r="BW19" s="370">
        <f>BW14/('Книга допущений'!$B$45*BW10)</f>
        <v>0.61749999999999994</v>
      </c>
      <c r="BX19" s="370">
        <f>BX14/('Книга допущений'!$B$45*BX10)</f>
        <v>0.45499999999999996</v>
      </c>
      <c r="BY19" s="370">
        <f>BY14/('Книга допущений'!$B$45*BY10)</f>
        <v>0.9425</v>
      </c>
    </row>
    <row r="20" spans="1:77" ht="12.75" customHeight="1" x14ac:dyDescent="0.25">
      <c r="A20" s="432" t="s">
        <v>618</v>
      </c>
      <c r="B20" s="112" t="s">
        <v>611</v>
      </c>
      <c r="C20" s="433">
        <f>C14*'Книга допущений'!$B$122/'План продаж'!C10</f>
        <v>0</v>
      </c>
      <c r="D20" s="433">
        <f>D14*'Книга допущений'!$B$122/'План продаж'!D10</f>
        <v>0</v>
      </c>
      <c r="E20" s="433">
        <f>E14*'Книга допущений'!$B$122/'План продаж'!E10</f>
        <v>0</v>
      </c>
      <c r="F20" s="433">
        <f>F14*'Книга допущений'!$B$122/'План продаж'!F10</f>
        <v>0</v>
      </c>
      <c r="G20" s="433">
        <f>G14*'Книга допущений'!$B$122/'План продаж'!G10</f>
        <v>0</v>
      </c>
      <c r="H20" s="433">
        <f>H14*'Книга допущений'!$B$122/'План продаж'!H10</f>
        <v>0</v>
      </c>
      <c r="I20" s="433">
        <f>I14*'Книга допущений'!$B$122/'План продаж'!I10</f>
        <v>0</v>
      </c>
      <c r="J20" s="433">
        <f>J14*'Книга допущений'!$B$122/'План продаж'!J10</f>
        <v>0</v>
      </c>
      <c r="K20" s="433">
        <f>K14*'Книга допущений'!$B$122/'План продаж'!K10</f>
        <v>0</v>
      </c>
      <c r="L20" s="433">
        <f>L14*'Книга допущений'!$B$122/'План продаж'!L10</f>
        <v>43.68</v>
      </c>
      <c r="M20" s="433">
        <f>M14*'Книга допущений'!$B$122/'План продаж'!M10</f>
        <v>44.616000000000007</v>
      </c>
      <c r="N20" s="433">
        <f>N14*'Книга допущений'!$B$122/'План продаж'!N10</f>
        <v>37.440000000000012</v>
      </c>
      <c r="O20" s="433">
        <f>O14*'Книга допущений'!$B$122/'План продаж'!O10</f>
        <v>38.532000000000004</v>
      </c>
      <c r="P20" s="433">
        <f>P14*'Книга допущений'!$B$122/'План продаж'!P10</f>
        <v>30.576000000000004</v>
      </c>
      <c r="Q20" s="433">
        <f>Q14*'Книга допущений'!$B$122/'План продаж'!Q10</f>
        <v>67.860000000000028</v>
      </c>
      <c r="R20" s="433">
        <f>R14*'Книга допущений'!$B$122/'План продаж'!R10</f>
        <v>39.936000000000014</v>
      </c>
      <c r="S20" s="433">
        <f>S14*'Книга допущений'!$B$122/'План продаж'!S10</f>
        <v>37.128000000000007</v>
      </c>
      <c r="T20" s="433">
        <f>T14*'Книга допущений'!$B$122/'План продаж'!T10</f>
        <v>44.928000000000026</v>
      </c>
      <c r="U20" s="433">
        <f>U14*'Книга допущений'!$B$122/'План продаж'!U10</f>
        <v>41.496000000000009</v>
      </c>
      <c r="V20" s="433">
        <f>V14*'Книга допущений'!$B$122/'План продаж'!V10</f>
        <v>62.400000000000034</v>
      </c>
      <c r="W20" s="433">
        <f>W14*'Книга допущений'!$B$122/'План продаж'!W10</f>
        <v>74.88000000000001</v>
      </c>
      <c r="X20" s="433">
        <f>X14*'Книга допущений'!$B$122/'План продаж'!X10</f>
        <v>87.36</v>
      </c>
      <c r="Y20" s="433">
        <f>Y14*'Книга допущений'!$B$122/'План продаж'!Y10</f>
        <v>81.12</v>
      </c>
      <c r="Z20" s="433">
        <f>Z14*'Книга допущений'!$B$122/'План продаж'!Z10</f>
        <v>62.4</v>
      </c>
      <c r="AA20" s="433">
        <f>AA14*'Книга допущений'!$B$122/'План продаж'!AA10</f>
        <v>59.279999999999994</v>
      </c>
      <c r="AB20" s="433">
        <f>AB14*'Книга допущений'!$B$122/'План продаж'!AB10</f>
        <v>43.679999999999993</v>
      </c>
      <c r="AC20" s="433">
        <f>AC14*'Книга допущений'!$B$122/'План продаж'!AC10</f>
        <v>90.48</v>
      </c>
      <c r="AD20" s="433">
        <f>AD14*'Книга допущений'!$B$122/'План продаж'!AD10</f>
        <v>49.920000000000009</v>
      </c>
      <c r="AE20" s="433">
        <f>AE14*'Книга допущений'!$B$122/'План продаж'!AE10</f>
        <v>43.68</v>
      </c>
      <c r="AF20" s="433">
        <f>AF14*'Книга допущений'!$B$122/'План продаж'!AF10</f>
        <v>49.920000000000009</v>
      </c>
      <c r="AG20" s="433">
        <f>AG14*'Книга допущений'!$B$122/'План продаж'!AG10</f>
        <v>43.679999999999993</v>
      </c>
      <c r="AH20" s="433">
        <f>AH14*'Книга допущений'!$B$122/'План продаж'!AH10</f>
        <v>62.400000000000006</v>
      </c>
      <c r="AI20" s="433">
        <f>AI14*'Книга допущений'!$B$122/'План продаж'!AI10</f>
        <v>74.88000000000001</v>
      </c>
      <c r="AJ20" s="433">
        <f>AJ14*'Книга допущений'!$B$122/'План продаж'!AJ10</f>
        <v>87.36</v>
      </c>
      <c r="AK20" s="433">
        <f>AK14*'Книга допущений'!$B$122/'План продаж'!AK10</f>
        <v>81.12</v>
      </c>
      <c r="AL20" s="433">
        <f>AL14*'Книга допущений'!$B$122/'План продаж'!AL10</f>
        <v>62.4</v>
      </c>
      <c r="AM20" s="433">
        <f>AM14*'Книга допущений'!$B$122/'План продаж'!AM10</f>
        <v>59.279999999999994</v>
      </c>
      <c r="AN20" s="433">
        <f>AN14*'Книга допущений'!$B$122/'План продаж'!AN10</f>
        <v>43.679999999999993</v>
      </c>
      <c r="AO20" s="433">
        <f>AO14*'Книга допущений'!$B$122/'План продаж'!AO10</f>
        <v>90.48</v>
      </c>
      <c r="AP20" s="433">
        <f>AP14*'Книга допущений'!$B$122/'План продаж'!AP10</f>
        <v>49.920000000000009</v>
      </c>
      <c r="AQ20" s="433">
        <f>AQ14*'Книга допущений'!$B$122/'План продаж'!AQ10</f>
        <v>43.68</v>
      </c>
      <c r="AR20" s="433">
        <f>AR14*'Книга допущений'!$B$122/'План продаж'!AR10</f>
        <v>49.920000000000009</v>
      </c>
      <c r="AS20" s="433">
        <f>AS14*'Книга допущений'!$B$122/'План продаж'!AS10</f>
        <v>43.679999999999993</v>
      </c>
      <c r="AT20" s="433">
        <f>AT14*'Книга допущений'!$B$122/'План продаж'!AT10</f>
        <v>62.400000000000006</v>
      </c>
      <c r="AU20" s="433">
        <f>AU14*'Книга допущений'!$B$122/'План продаж'!AU10</f>
        <v>74.88000000000001</v>
      </c>
      <c r="AV20" s="433">
        <f>AV14*'Книга допущений'!$B$122/'План продаж'!AV10</f>
        <v>87.36</v>
      </c>
      <c r="AW20" s="433">
        <f>AW14*'Книга допущений'!$B$122/'План продаж'!AW10</f>
        <v>81.12</v>
      </c>
      <c r="AX20" s="433">
        <f>AX14*'Книга допущений'!$B$122/'План продаж'!AX10</f>
        <v>62.4</v>
      </c>
      <c r="AY20" s="433">
        <f>AY14*'Книга допущений'!$B$122/'План продаж'!AY10</f>
        <v>59.279999999999994</v>
      </c>
      <c r="AZ20" s="433">
        <f>AZ14*'Книга допущений'!$B$122/'План продаж'!AZ10</f>
        <v>43.679999999999993</v>
      </c>
      <c r="BA20" s="433">
        <f>BA14*'Книга допущений'!$B$122/'План продаж'!BA10</f>
        <v>90.48</v>
      </c>
      <c r="BB20" s="433">
        <f>BB14*'Книга допущений'!$B$122/'План продаж'!BB10</f>
        <v>49.920000000000009</v>
      </c>
      <c r="BC20" s="433">
        <f>BC14*'Книга допущений'!$B$122/'План продаж'!BC10</f>
        <v>43.68</v>
      </c>
      <c r="BD20" s="433">
        <f>BD14*'Книга допущений'!$B$122/'План продаж'!BD10</f>
        <v>49.920000000000009</v>
      </c>
      <c r="BE20" s="433">
        <f>BE14*'Книга допущений'!$B$122/'План продаж'!BE10</f>
        <v>43.679999999999993</v>
      </c>
      <c r="BF20" s="433">
        <f>BF14*'Книга допущений'!$B$122/'План продаж'!BF10</f>
        <v>62.400000000000006</v>
      </c>
      <c r="BG20" s="433">
        <f>BG14*'Книга допущений'!$B$122/'План продаж'!BG10</f>
        <v>74.88000000000001</v>
      </c>
      <c r="BH20" s="433">
        <f>BH14*'Книга допущений'!$B$122/'План продаж'!BH10</f>
        <v>87.36</v>
      </c>
      <c r="BI20" s="433">
        <f>BI14*'Книга допущений'!$B$122/'План продаж'!BI10</f>
        <v>81.12</v>
      </c>
      <c r="BJ20" s="433">
        <f>BJ14*'Книга допущений'!$B$122/'План продаж'!BJ10</f>
        <v>62.4</v>
      </c>
      <c r="BK20" s="433">
        <f>BK14*'Книга допущений'!$B$122/'План продаж'!BK10</f>
        <v>59.279999999999994</v>
      </c>
      <c r="BL20" s="433">
        <f>BL14*'Книга допущений'!$B$122/'План продаж'!BL10</f>
        <v>43.679999999999993</v>
      </c>
      <c r="BM20" s="433">
        <f>BM14*'Книга допущений'!$B$122/'План продаж'!BM10</f>
        <v>90.48</v>
      </c>
      <c r="BN20" s="433">
        <f>BN14*'Книга допущений'!$B$122/'План продаж'!BN10</f>
        <v>49.920000000000009</v>
      </c>
      <c r="BO20" s="433">
        <f>BO14*'Книга допущений'!$B$122/'План продаж'!BO10</f>
        <v>43.68</v>
      </c>
      <c r="BP20" s="433">
        <f>BP14*'Книга допущений'!$B$122/'План продаж'!BP10</f>
        <v>49.920000000000009</v>
      </c>
      <c r="BQ20" s="433">
        <f>BQ14*'Книга допущений'!$B$122/'План продаж'!BQ10</f>
        <v>43.679999999999993</v>
      </c>
      <c r="BR20" s="433">
        <f>BR14*'Книга допущений'!$B$122/'План продаж'!BR10</f>
        <v>62.400000000000006</v>
      </c>
      <c r="BS20" s="433">
        <f>BS14*'Книга допущений'!$B$122/'План продаж'!BS10</f>
        <v>74.88000000000001</v>
      </c>
      <c r="BT20" s="433">
        <f>BT14*'Книга допущений'!$B$122/'План продаж'!BT10</f>
        <v>87.36</v>
      </c>
      <c r="BU20" s="433">
        <f>BU14*'Книга допущений'!$B$122/'План продаж'!BU10</f>
        <v>81.12</v>
      </c>
      <c r="BV20" s="433">
        <f>BV14*'Книга допущений'!$B$122/'План продаж'!BV10</f>
        <v>62.4</v>
      </c>
      <c r="BW20" s="433">
        <f>BW14*'Книга допущений'!$B$122/'План продаж'!BW10</f>
        <v>59.279999999999994</v>
      </c>
      <c r="BX20" s="433">
        <f>BX14*'Книга допущений'!$B$122/'План продаж'!BX10</f>
        <v>43.679999999999993</v>
      </c>
      <c r="BY20" s="433">
        <f>BY14*'Книга допущений'!$B$122/'План продаж'!BY10</f>
        <v>90.48</v>
      </c>
    </row>
    <row r="21" spans="1:77" s="16" customFormat="1" x14ac:dyDescent="0.25">
      <c r="A21" s="146" t="s">
        <v>364</v>
      </c>
      <c r="B21" s="12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</row>
    <row r="22" spans="1:77" s="30" customFormat="1" ht="13.5" customHeight="1" x14ac:dyDescent="0.25">
      <c r="A22" s="148" t="str">
        <f>'Книга допущений'!A148</f>
        <v>Проживание</v>
      </c>
      <c r="B22" s="96" t="str">
        <f>'Книга допущений'!B148</f>
        <v>руб./дом/сут.</v>
      </c>
      <c r="C22" s="149">
        <f>'Книга допущений'!L148*'Книга допущений'!$B$19^'План продаж'!C$11*(1+Риски!$B$10)</f>
        <v>4000</v>
      </c>
      <c r="D22" s="149">
        <f>'Книга допущений'!M148*'Книга допущений'!$B$19^'План продаж'!D$11*(1+Риски!$B$10)</f>
        <v>3500</v>
      </c>
      <c r="E22" s="149">
        <f>'Книга допущений'!N148*'Книга допущений'!$B$19^'План продаж'!E$11*(1+Риски!$B$10)</f>
        <v>5000</v>
      </c>
      <c r="F22" s="149">
        <f>'Книга допущений'!C148*'Книга допущений'!$B$19^'План продаж'!F$11*(1+Риски!$B$10)</f>
        <v>4160</v>
      </c>
      <c r="G22" s="149">
        <f>'Книга допущений'!D148*'Книга допущений'!$B$19^'План продаж'!G$11*(1+Риски!$B$10)</f>
        <v>3640</v>
      </c>
      <c r="H22" s="149">
        <f>'Книга допущений'!E148*'Книга допущений'!$B$19^'План продаж'!H$11*(1+Риски!$B$10)</f>
        <v>4160</v>
      </c>
      <c r="I22" s="149">
        <f>'Книга допущений'!F148*'Книга допущений'!$B$19^'План продаж'!I$11*(1+Риски!$B$10)</f>
        <v>3640</v>
      </c>
      <c r="J22" s="149">
        <f>'Книга допущений'!G148*'Книга допущений'!$B$19^'План продаж'!J$11*(1+Риски!$B$10)</f>
        <v>5200</v>
      </c>
      <c r="K22" s="149">
        <f>'Книга допущений'!H148*'Книга допущений'!$B$19^'План продаж'!K$11*(1+Риски!$B$10)</f>
        <v>5200</v>
      </c>
      <c r="L22" s="149">
        <f>'Книга допущений'!I148*'Книга допущений'!$B$19^'План продаж'!L$11*(1+Риски!$B$10)</f>
        <v>5200</v>
      </c>
      <c r="M22" s="149">
        <f>'Книга допущений'!J148*'Книга допущений'!$B$19^'План продаж'!M$11*(1+Риски!$B$10)</f>
        <v>5200</v>
      </c>
      <c r="N22" s="149">
        <f>'Книга допущений'!K148*'Книга допущений'!$B$19^'План продаж'!N$11*(1+Риски!$B$10)</f>
        <v>5200</v>
      </c>
      <c r="O22" s="149">
        <f>'Книга допущений'!L148*'Книга допущений'!$B$19^'План продаж'!O$11*(1+Риски!$B$10)</f>
        <v>4160</v>
      </c>
      <c r="P22" s="149">
        <f>'Книга допущений'!M148*'Книга допущений'!$B$19^'План продаж'!P$11*(1+Риски!$B$10)</f>
        <v>3640</v>
      </c>
      <c r="Q22" s="149">
        <f>'Книга допущений'!N148*'Книга допущений'!$B$19^'План продаж'!Q$11*(1+Риски!$B$10)</f>
        <v>5200</v>
      </c>
      <c r="R22" s="149">
        <f>'Книга допущений'!C148*'Книга допущений'!$B$19^'План продаж'!R$11*(1+Риски!$B$10)</f>
        <v>4326.4000000000005</v>
      </c>
      <c r="S22" s="149">
        <f>'Книга допущений'!D148*'Книга допущений'!$B$19^'План продаж'!S$11*(1+Риски!$B$10)</f>
        <v>3785.6000000000004</v>
      </c>
      <c r="T22" s="149">
        <f>'Книга допущений'!E148*'Книга допущений'!$B$19^'План продаж'!T$11*(1+Риски!$B$10)</f>
        <v>4326.4000000000005</v>
      </c>
      <c r="U22" s="149">
        <f>'Книга допущений'!F148*'Книга допущений'!$B$19^'План продаж'!U$11*(1+Риски!$B$10)</f>
        <v>3785.6000000000004</v>
      </c>
      <c r="V22" s="149">
        <f>'Книга допущений'!G148*'Книга допущений'!$B$19^'План продаж'!V$11*(1+Риски!$B$10)</f>
        <v>5408.0000000000009</v>
      </c>
      <c r="W22" s="149">
        <f>'Книга допущений'!H148*'Книга допущений'!$B$19^'План продаж'!W$11*(1+Риски!$B$10)</f>
        <v>5408.0000000000009</v>
      </c>
      <c r="X22" s="149">
        <f>'Книга допущений'!I148*'Книга допущений'!$B$19^'План продаж'!X$11*(1+Риски!$B$10)</f>
        <v>5408.0000000000009</v>
      </c>
      <c r="Y22" s="149">
        <f>'Книга допущений'!J148*'Книга допущений'!$B$19^'План продаж'!Y$11*(1+Риски!$B$10)</f>
        <v>5408.0000000000009</v>
      </c>
      <c r="Z22" s="149">
        <f>'Книга допущений'!K148*'Книга допущений'!$B$19^'План продаж'!Z$11*(1+Риски!$B$10)</f>
        <v>5408.0000000000009</v>
      </c>
      <c r="AA22" s="149">
        <f>'Книга допущений'!L148*'Книга допущений'!$B$19^'План продаж'!AA$11*(1+Риски!$B$10)</f>
        <v>4326.4000000000005</v>
      </c>
      <c r="AB22" s="149">
        <f>'Книга допущений'!M148*'Книга допущений'!$B$19^'План продаж'!AB$11*(1+Риски!$B$10)</f>
        <v>3785.6000000000004</v>
      </c>
      <c r="AC22" s="149">
        <f>'Книга допущений'!N148*'Книга допущений'!$B$19^'План продаж'!AC$11*(1+Риски!$B$10)</f>
        <v>5408.0000000000009</v>
      </c>
      <c r="AD22" s="149">
        <f>'Книга допущений'!C148*'Книга допущений'!$B$19^'План продаж'!AD$11*(1+Риски!$B$10)</f>
        <v>4499.4560000000001</v>
      </c>
      <c r="AE22" s="149">
        <f>'Книга допущений'!D148*'Книга допущений'!$B$19^'План продаж'!AE$11*(1+Риски!$B$10)</f>
        <v>3937.0240000000003</v>
      </c>
      <c r="AF22" s="149">
        <f>'Книга допущений'!E148*'Книга допущений'!$B$19^'План продаж'!AF$11*(1+Риски!$B$10)</f>
        <v>4499.4560000000001</v>
      </c>
      <c r="AG22" s="149">
        <f>'Книга допущений'!F148*'Книга допущений'!$B$19^'План продаж'!AG$11*(1+Риски!$B$10)</f>
        <v>3937.0240000000003</v>
      </c>
      <c r="AH22" s="149">
        <f>'Книга допущений'!G148*'Книга допущений'!$B$19^'План продаж'!AH$11*(1+Риски!$B$10)</f>
        <v>5624.3200000000006</v>
      </c>
      <c r="AI22" s="149">
        <f>'Книга допущений'!H148*'Книга допущений'!$B$19^'План продаж'!AI$11*(1+Риски!$B$10)</f>
        <v>5624.3200000000006</v>
      </c>
      <c r="AJ22" s="149">
        <f>'Книга допущений'!I148*'Книга допущений'!$B$19^'План продаж'!AJ$11*(1+Риски!$B$10)</f>
        <v>5624.3200000000006</v>
      </c>
      <c r="AK22" s="149">
        <f>'Книга допущений'!J148*'Книга допущений'!$B$19^'План продаж'!AK$11*(1+Риски!$B$10)</f>
        <v>5624.3200000000006</v>
      </c>
      <c r="AL22" s="149">
        <f>'Книга допущений'!K148*'Книга допущений'!$B$19^'План продаж'!AL$11*(1+Риски!$B$10)</f>
        <v>5624.3200000000006</v>
      </c>
      <c r="AM22" s="149">
        <f>'Книга допущений'!L148*'Книга допущений'!$B$19^'План продаж'!AM$11*(1+Риски!$B$10)</f>
        <v>4499.4560000000001</v>
      </c>
      <c r="AN22" s="149">
        <f>'Книга допущений'!M148*'Книга допущений'!$B$19^'План продаж'!AN$11*(1+Риски!$B$10)</f>
        <v>3937.0240000000003</v>
      </c>
      <c r="AO22" s="149">
        <f>'Книга допущений'!N148*'Книга допущений'!$B$19^'План продаж'!AO$11*(1+Риски!$B$10)</f>
        <v>5624.3200000000006</v>
      </c>
      <c r="AP22" s="149">
        <f>'Книга допущений'!C148*'Книга допущений'!$B$19^'План продаж'!AP$11*(1+Риски!$B$10)</f>
        <v>4679.4342400000005</v>
      </c>
      <c r="AQ22" s="149">
        <f>'Книга допущений'!D148*'Книга допущений'!$B$19^'План продаж'!AQ$11*(1+Риски!$B$10)</f>
        <v>4094.5049600000007</v>
      </c>
      <c r="AR22" s="149">
        <f>'Книга допущений'!E148*'Книга допущений'!$B$19^'План продаж'!AR$11*(1+Риски!$B$10)</f>
        <v>4679.4342400000005</v>
      </c>
      <c r="AS22" s="149">
        <f>'Книга допущений'!F148*'Книга допущений'!$B$19^'План продаж'!AS$11*(1+Риски!$B$10)</f>
        <v>4094.5049600000007</v>
      </c>
      <c r="AT22" s="149">
        <f>'Книга допущений'!G148*'Книга допущений'!$B$19^'План продаж'!AT$11*(1+Риски!$B$10)</f>
        <v>5849.2928000000011</v>
      </c>
      <c r="AU22" s="149">
        <f>'Книга допущений'!H148*'Книга допущений'!$B$19^'План продаж'!AU$11*(1+Риски!$B$10)</f>
        <v>5849.2928000000011</v>
      </c>
      <c r="AV22" s="149">
        <f>'Книга допущений'!I148*'Книга допущений'!$B$19^'План продаж'!AV$11*(1+Риски!$B$10)</f>
        <v>5849.2928000000011</v>
      </c>
      <c r="AW22" s="149">
        <f>'Книга допущений'!J148*'Книга допущений'!$B$19^'План продаж'!AW$11*(1+Риски!$B$10)</f>
        <v>5849.2928000000011</v>
      </c>
      <c r="AX22" s="149">
        <f>'Книга допущений'!K148*'Книга допущений'!$B$19^'План продаж'!AX$11*(1+Риски!$B$10)</f>
        <v>5849.2928000000011</v>
      </c>
      <c r="AY22" s="149">
        <f>'Книга допущений'!L148*'Книга допущений'!$B$19^'План продаж'!AY$11*(1+Риски!$B$10)</f>
        <v>4679.4342400000005</v>
      </c>
      <c r="AZ22" s="149">
        <f>'Книга допущений'!M148*'Книга допущений'!$B$19^'План продаж'!AZ$11*(1+Риски!$B$10)</f>
        <v>4094.5049600000007</v>
      </c>
      <c r="BA22" s="149">
        <f>'Книга допущений'!N148*'Книга допущений'!$B$19^'План продаж'!BA$11*(1+Риски!$B$10)</f>
        <v>5849.2928000000011</v>
      </c>
      <c r="BB22" s="149">
        <f>'Книга допущений'!C148*'Книга допущений'!$B$19^'План продаж'!BB$11*(1+Риски!$B$10)</f>
        <v>4866.6116096000014</v>
      </c>
      <c r="BC22" s="149">
        <f>'Книга допущений'!D148*'Книга допущений'!$B$19^'План продаж'!BC$11*(1+Риски!$B$10)</f>
        <v>4258.2851584000009</v>
      </c>
      <c r="BD22" s="149">
        <f>'Книга допущений'!E148*'Книга допущений'!$B$19^'План продаж'!BD$11*(1+Риски!$B$10)</f>
        <v>4866.6116096000014</v>
      </c>
      <c r="BE22" s="149">
        <f>'Книга допущений'!F148*'Книга допущений'!$B$19^'План продаж'!BE$11*(1+Риски!$B$10)</f>
        <v>4258.2851584000009</v>
      </c>
      <c r="BF22" s="149">
        <f>'Книга допущений'!G148*'Книга допущений'!$B$19^'План продаж'!BF$11*(1+Риски!$B$10)</f>
        <v>6083.2645120000016</v>
      </c>
      <c r="BG22" s="149">
        <f>'Книга допущений'!H148*'Книга допущений'!$B$19^'План продаж'!BG$11*(1+Риски!$B$10)</f>
        <v>6083.2645120000016</v>
      </c>
      <c r="BH22" s="149">
        <f>'Книга допущений'!I148*'Книга допущений'!$B$19^'План продаж'!BH$11*(1+Риски!$B$10)</f>
        <v>6083.2645120000016</v>
      </c>
      <c r="BI22" s="149">
        <f>'Книга допущений'!J148*'Книга допущений'!$B$19^'План продаж'!BI$11*(1+Риски!$B$10)</f>
        <v>6083.2645120000016</v>
      </c>
      <c r="BJ22" s="149">
        <f>'Книга допущений'!K148*'Книга допущений'!$B$19^'План продаж'!BJ$11*(1+Риски!$B$10)</f>
        <v>6083.2645120000016</v>
      </c>
      <c r="BK22" s="149">
        <f>'Книга допущений'!L148*'Книга допущений'!$B$19^'План продаж'!BK$11*(1+Риски!$B$10)</f>
        <v>4866.6116096000014</v>
      </c>
      <c r="BL22" s="149">
        <f>'Книга допущений'!M148*'Книга допущений'!$B$19^'План продаж'!BL$11*(1+Риски!$B$10)</f>
        <v>4258.2851584000009</v>
      </c>
      <c r="BM22" s="149">
        <f>'Книга допущений'!N148*'Книга допущений'!$B$19^'План продаж'!BM$11*(1+Риски!$B$10)</f>
        <v>6083.2645120000016</v>
      </c>
      <c r="BN22" s="149">
        <f>'Книга допущений'!C148*'Книга допущений'!$B$19^'План продаж'!BN$11*(1+Риски!$B$10)</f>
        <v>5061.2760739840014</v>
      </c>
      <c r="BO22" s="149">
        <f>'Книга допущений'!D148*'Книга допущений'!$B$19^'План продаж'!BO$11*(1+Риски!$B$10)</f>
        <v>4428.6165647360012</v>
      </c>
      <c r="BP22" s="149">
        <f>'Книга допущений'!E148*'Книга допущений'!$B$19^'План продаж'!BP$11*(1+Риски!$B$10)</f>
        <v>5061.2760739840014</v>
      </c>
      <c r="BQ22" s="149">
        <f>'Книга допущений'!F148*'Книга допущений'!$B$19^'План продаж'!BQ$11*(1+Риски!$B$10)</f>
        <v>4428.6165647360012</v>
      </c>
      <c r="BR22" s="149">
        <f>'Книга допущений'!G148*'Книга допущений'!$B$19^'План продаж'!BR$11*(1+Риски!$B$10)</f>
        <v>6326.5950924800018</v>
      </c>
      <c r="BS22" s="149">
        <f>'Книга допущений'!H148*'Книга допущений'!$B$19^'План продаж'!BS$11*(1+Риски!$B$10)</f>
        <v>6326.5950924800018</v>
      </c>
      <c r="BT22" s="149">
        <f>'Книга допущений'!I148*'Книга допущений'!$B$19^'План продаж'!BT$11*(1+Риски!$B$10)</f>
        <v>6326.5950924800018</v>
      </c>
      <c r="BU22" s="149">
        <f>'Книга допущений'!J148*'Книга допущений'!$B$19^'План продаж'!BU$11*(1+Риски!$B$10)</f>
        <v>6326.5950924800018</v>
      </c>
      <c r="BV22" s="149">
        <f>'Книга допущений'!K148*'Книга допущений'!$B$19^'План продаж'!BV$11*(1+Риски!$B$10)</f>
        <v>6326.5950924800018</v>
      </c>
      <c r="BW22" s="149">
        <f>'Книга допущений'!L148*'Книга допущений'!$B$19^'План продаж'!BW$11*(1+Риски!$B$10)</f>
        <v>5061.2760739840014</v>
      </c>
      <c r="BX22" s="149">
        <f>'Книга допущений'!M148*'Книга допущений'!$B$19^'План продаж'!BX$11*(1+Риски!$B$10)</f>
        <v>4428.6165647360012</v>
      </c>
      <c r="BY22" s="149">
        <f>'Книга допущений'!N148*'Книга допущений'!$B$19^'План продаж'!BY$11*(1+Риски!$B$10)</f>
        <v>6326.5950924800018</v>
      </c>
    </row>
    <row r="23" spans="1:77" s="30" customFormat="1" ht="13.5" customHeight="1" x14ac:dyDescent="0.25">
      <c r="A23" s="148" t="str">
        <f>'Книга допущений'!A149</f>
        <v>Питание</v>
      </c>
      <c r="B23" s="96" t="str">
        <f>'Книга допущений'!B149</f>
        <v>руб./чел./дн.</v>
      </c>
      <c r="C23" s="149">
        <f>'Книга допущений'!L149*'Книга допущений'!$B$19^'План продаж'!C$11*(1+Риски!$B$10)</f>
        <v>1000</v>
      </c>
      <c r="D23" s="149">
        <f>'Книга допущений'!M149*'Книга допущений'!$B$19^'План продаж'!D$11*(1+Риски!$B$10)</f>
        <v>1000</v>
      </c>
      <c r="E23" s="149">
        <f>'Книга допущений'!N149*'Книга допущений'!$B$19^'План продаж'!E$11*(1+Риски!$B$10)</f>
        <v>1000</v>
      </c>
      <c r="F23" s="149">
        <f>'Книга допущений'!C149*'Книга допущений'!$B$19^'План продаж'!F$11*(1+Риски!$B$10)</f>
        <v>1040</v>
      </c>
      <c r="G23" s="149">
        <f>'Книга допущений'!D149*'Книга допущений'!$B$19^'План продаж'!G$11*(1+Риски!$B$10)</f>
        <v>1040</v>
      </c>
      <c r="H23" s="149">
        <f>'Книга допущений'!E149*'Книга допущений'!$B$19^'План продаж'!H$11*(1+Риски!$B$10)</f>
        <v>1040</v>
      </c>
      <c r="I23" s="149">
        <f>'Книга допущений'!F149*'Книга допущений'!$B$19^'План продаж'!I$11*(1+Риски!$B$10)</f>
        <v>1040</v>
      </c>
      <c r="J23" s="149">
        <f>'Книга допущений'!G149*'Книга допущений'!$B$19^'План продаж'!J$11*(1+Риски!$B$10)</f>
        <v>1040</v>
      </c>
      <c r="K23" s="149">
        <f>'Книга допущений'!H149*'Книга допущений'!$B$19^'План продаж'!K$11*(1+Риски!$B$10)</f>
        <v>1040</v>
      </c>
      <c r="L23" s="149">
        <f>'Книга допущений'!I149*'Книга допущений'!$B$19^'План продаж'!L$11*(1+Риски!$B$10)</f>
        <v>1040</v>
      </c>
      <c r="M23" s="149">
        <f>'Книга допущений'!J149*'Книга допущений'!$B$19^'План продаж'!M$11*(1+Риски!$B$10)</f>
        <v>1040</v>
      </c>
      <c r="N23" s="149">
        <f>'Книга допущений'!K149*'Книга допущений'!$B$19^'План продаж'!N$11*(1+Риски!$B$10)</f>
        <v>1040</v>
      </c>
      <c r="O23" s="149">
        <f>'Книга допущений'!L149*'Книга допущений'!$B$19^'План продаж'!O$11*(1+Риски!$B$10)</f>
        <v>1040</v>
      </c>
      <c r="P23" s="149">
        <f>'Книга допущений'!M149*'Книга допущений'!$B$19^'План продаж'!P$11*(1+Риски!$B$10)</f>
        <v>1040</v>
      </c>
      <c r="Q23" s="149">
        <f>'Книга допущений'!N149*'Книга допущений'!$B$19^'План продаж'!Q$11*(1+Риски!$B$10)</f>
        <v>1040</v>
      </c>
      <c r="R23" s="149">
        <f>'Книга допущений'!C149*'Книга допущений'!$B$19^'План продаж'!R$11*(1+Риски!$B$10)</f>
        <v>1081.6000000000001</v>
      </c>
      <c r="S23" s="149">
        <f>'Книга допущений'!D149*'Книга допущений'!$B$19^'План продаж'!S$11*(1+Риски!$B$10)</f>
        <v>1081.6000000000001</v>
      </c>
      <c r="T23" s="149">
        <f>'Книга допущений'!E149*'Книга допущений'!$B$19^'План продаж'!T$11*(1+Риски!$B$10)</f>
        <v>1081.6000000000001</v>
      </c>
      <c r="U23" s="149">
        <f>'Книга допущений'!F149*'Книга допущений'!$B$19^'План продаж'!U$11*(1+Риски!$B$10)</f>
        <v>1081.6000000000001</v>
      </c>
      <c r="V23" s="149">
        <f>'Книга допущений'!G149*'Книга допущений'!$B$19^'План продаж'!V$11*(1+Риски!$B$10)</f>
        <v>1081.6000000000001</v>
      </c>
      <c r="W23" s="149">
        <f>'Книга допущений'!H149*'Книга допущений'!$B$19^'План продаж'!W$11*(1+Риски!$B$10)</f>
        <v>1081.6000000000001</v>
      </c>
      <c r="X23" s="149">
        <f>'Книга допущений'!I149*'Книга допущений'!$B$19^'План продаж'!X$11*(1+Риски!$B$10)</f>
        <v>1081.6000000000001</v>
      </c>
      <c r="Y23" s="149">
        <f>'Книга допущений'!J149*'Книга допущений'!$B$19^'План продаж'!Y$11*(1+Риски!$B$10)</f>
        <v>1081.6000000000001</v>
      </c>
      <c r="Z23" s="149">
        <f>'Книга допущений'!K149*'Книга допущений'!$B$19^'План продаж'!Z$11*(1+Риски!$B$10)</f>
        <v>1081.6000000000001</v>
      </c>
      <c r="AA23" s="149">
        <f>'Книга допущений'!L149*'Книга допущений'!$B$19^'План продаж'!AA$11*(1+Риски!$B$10)</f>
        <v>1081.6000000000001</v>
      </c>
      <c r="AB23" s="149">
        <f>'Книга допущений'!M149*'Книга допущений'!$B$19^'План продаж'!AB$11*(1+Риски!$B$10)</f>
        <v>1081.6000000000001</v>
      </c>
      <c r="AC23" s="149">
        <f>'Книга допущений'!N149*'Книга допущений'!$B$19^'План продаж'!AC$11*(1+Риски!$B$10)</f>
        <v>1081.6000000000001</v>
      </c>
      <c r="AD23" s="149">
        <f>'Книга допущений'!C149*'Книга допущений'!$B$19^'План продаж'!AD$11*(1+Риски!$B$10)</f>
        <v>1124.864</v>
      </c>
      <c r="AE23" s="149">
        <f>'Книга допущений'!D149*'Книга допущений'!$B$19^'План продаж'!AE$11*(1+Риски!$B$10)</f>
        <v>1124.864</v>
      </c>
      <c r="AF23" s="149">
        <f>'Книга допущений'!E149*'Книга допущений'!$B$19^'План продаж'!AF$11*(1+Риски!$B$10)</f>
        <v>1124.864</v>
      </c>
      <c r="AG23" s="149">
        <f>'Книга допущений'!F149*'Книга допущений'!$B$19^'План продаж'!AG$11*(1+Риски!$B$10)</f>
        <v>1124.864</v>
      </c>
      <c r="AH23" s="149">
        <f>'Книга допущений'!G149*'Книга допущений'!$B$19^'План продаж'!AH$11*(1+Риски!$B$10)</f>
        <v>1124.864</v>
      </c>
      <c r="AI23" s="149">
        <f>'Книга допущений'!H149*'Книга допущений'!$B$19^'План продаж'!AI$11*(1+Риски!$B$10)</f>
        <v>1124.864</v>
      </c>
      <c r="AJ23" s="149">
        <f>'Книга допущений'!I149*'Книга допущений'!$B$19^'План продаж'!AJ$11*(1+Риски!$B$10)</f>
        <v>1124.864</v>
      </c>
      <c r="AK23" s="149">
        <f>'Книга допущений'!J149*'Книга допущений'!$B$19^'План продаж'!AK$11*(1+Риски!$B$10)</f>
        <v>1124.864</v>
      </c>
      <c r="AL23" s="149">
        <f>'Книга допущений'!K149*'Книга допущений'!$B$19^'План продаж'!AL$11*(1+Риски!$B$10)</f>
        <v>1124.864</v>
      </c>
      <c r="AM23" s="149">
        <f>'Книга допущений'!L149*'Книга допущений'!$B$19^'План продаж'!AM$11*(1+Риски!$B$10)</f>
        <v>1124.864</v>
      </c>
      <c r="AN23" s="149">
        <f>'Книга допущений'!M149*'Книга допущений'!$B$19^'План продаж'!AN$11*(1+Риски!$B$10)</f>
        <v>1124.864</v>
      </c>
      <c r="AO23" s="149">
        <f>'Книга допущений'!N149*'Книга допущений'!$B$19^'План продаж'!AO$11*(1+Риски!$B$10)</f>
        <v>1124.864</v>
      </c>
      <c r="AP23" s="149">
        <f>'Книга допущений'!C149*'Книга допущений'!$B$19^'План продаж'!AP$11*(1+Риски!$B$10)</f>
        <v>1169.8585600000001</v>
      </c>
      <c r="AQ23" s="149">
        <f>'Книга допущений'!D149*'Книга допущений'!$B$19^'План продаж'!AQ$11*(1+Риски!$B$10)</f>
        <v>1169.8585600000001</v>
      </c>
      <c r="AR23" s="149">
        <f>'Книга допущений'!E149*'Книга допущений'!$B$19^'План продаж'!AR$11*(1+Риски!$B$10)</f>
        <v>1169.8585600000001</v>
      </c>
      <c r="AS23" s="149">
        <f>'Книга допущений'!F149*'Книга допущений'!$B$19^'План продаж'!AS$11*(1+Риски!$B$10)</f>
        <v>1169.8585600000001</v>
      </c>
      <c r="AT23" s="149">
        <f>'Книга допущений'!G149*'Книга допущений'!$B$19^'План продаж'!AT$11*(1+Риски!$B$10)</f>
        <v>1169.8585600000001</v>
      </c>
      <c r="AU23" s="149">
        <f>'Книга допущений'!H149*'Книга допущений'!$B$19^'План продаж'!AU$11*(1+Риски!$B$10)</f>
        <v>1169.8585600000001</v>
      </c>
      <c r="AV23" s="149">
        <f>'Книга допущений'!I149*'Книга допущений'!$B$19^'План продаж'!AV$11*(1+Риски!$B$10)</f>
        <v>1169.8585600000001</v>
      </c>
      <c r="AW23" s="149">
        <f>'Книга допущений'!J149*'Книга допущений'!$B$19^'План продаж'!AW$11*(1+Риски!$B$10)</f>
        <v>1169.8585600000001</v>
      </c>
      <c r="AX23" s="149">
        <f>'Книга допущений'!K149*'Книга допущений'!$B$19^'План продаж'!AX$11*(1+Риски!$B$10)</f>
        <v>1169.8585600000001</v>
      </c>
      <c r="AY23" s="149">
        <f>'Книга допущений'!L149*'Книга допущений'!$B$19^'План продаж'!AY$11*(1+Риски!$B$10)</f>
        <v>1169.8585600000001</v>
      </c>
      <c r="AZ23" s="149">
        <f>'Книга допущений'!M149*'Книга допущений'!$B$19^'План продаж'!AZ$11*(1+Риски!$B$10)</f>
        <v>1169.8585600000001</v>
      </c>
      <c r="BA23" s="149">
        <f>'Книга допущений'!N149*'Книга допущений'!$B$19^'План продаж'!BA$11*(1+Риски!$B$10)</f>
        <v>1169.8585600000001</v>
      </c>
      <c r="BB23" s="149">
        <f>'Книга допущений'!C149*'Книга допущений'!$B$19^'План продаж'!BB$11*(1+Риски!$B$10)</f>
        <v>1216.6529024000004</v>
      </c>
      <c r="BC23" s="149">
        <f>'Книга допущений'!D149*'Книга допущений'!$B$19^'План продаж'!BC$11*(1+Риски!$B$10)</f>
        <v>1216.6529024000004</v>
      </c>
      <c r="BD23" s="149">
        <f>'Книга допущений'!E149*'Книга допущений'!$B$19^'План продаж'!BD$11*(1+Риски!$B$10)</f>
        <v>1216.6529024000004</v>
      </c>
      <c r="BE23" s="149">
        <f>'Книга допущений'!F149*'Книга допущений'!$B$19^'План продаж'!BE$11*(1+Риски!$B$10)</f>
        <v>1216.6529024000004</v>
      </c>
      <c r="BF23" s="149">
        <f>'Книга допущений'!G149*'Книга допущений'!$B$19^'План продаж'!BF$11*(1+Риски!$B$10)</f>
        <v>1216.6529024000004</v>
      </c>
      <c r="BG23" s="149">
        <f>'Книга допущений'!H149*'Книга допущений'!$B$19^'План продаж'!BG$11*(1+Риски!$B$10)</f>
        <v>1216.6529024000004</v>
      </c>
      <c r="BH23" s="149">
        <f>'Книга допущений'!I149*'Книга допущений'!$B$19^'План продаж'!BH$11*(1+Риски!$B$10)</f>
        <v>1216.6529024000004</v>
      </c>
      <c r="BI23" s="149">
        <f>'Книга допущений'!J149*'Книга допущений'!$B$19^'План продаж'!BI$11*(1+Риски!$B$10)</f>
        <v>1216.6529024000004</v>
      </c>
      <c r="BJ23" s="149">
        <f>'Книга допущений'!K149*'Книга допущений'!$B$19^'План продаж'!BJ$11*(1+Риски!$B$10)</f>
        <v>1216.6529024000004</v>
      </c>
      <c r="BK23" s="149">
        <f>'Книга допущений'!L149*'Книга допущений'!$B$19^'План продаж'!BK$11*(1+Риски!$B$10)</f>
        <v>1216.6529024000004</v>
      </c>
      <c r="BL23" s="149">
        <f>'Книга допущений'!M149*'Книга допущений'!$B$19^'План продаж'!BL$11*(1+Риски!$B$10)</f>
        <v>1216.6529024000004</v>
      </c>
      <c r="BM23" s="149">
        <f>'Книга допущений'!N149*'Книга допущений'!$B$19^'План продаж'!BM$11*(1+Риски!$B$10)</f>
        <v>1216.6529024000004</v>
      </c>
      <c r="BN23" s="149">
        <f>'Книга допущений'!C149*'Книга допущений'!$B$19^'План продаж'!BN$11*(1+Риски!$B$10)</f>
        <v>1265.3190184960004</v>
      </c>
      <c r="BO23" s="149">
        <f>'Книга допущений'!D149*'Книга допущений'!$B$19^'План продаж'!BO$11*(1+Риски!$B$10)</f>
        <v>1265.3190184960004</v>
      </c>
      <c r="BP23" s="149">
        <f>'Книга допущений'!E149*'Книга допущений'!$B$19^'План продаж'!BP$11*(1+Риски!$B$10)</f>
        <v>1265.3190184960004</v>
      </c>
      <c r="BQ23" s="149">
        <f>'Книга допущений'!F149*'Книга допущений'!$B$19^'План продаж'!BQ$11*(1+Риски!$B$10)</f>
        <v>1265.3190184960004</v>
      </c>
      <c r="BR23" s="149">
        <f>'Книга допущений'!G149*'Книга допущений'!$B$19^'План продаж'!BR$11*(1+Риски!$B$10)</f>
        <v>1265.3190184960004</v>
      </c>
      <c r="BS23" s="149">
        <f>'Книга допущений'!H149*'Книга допущений'!$B$19^'План продаж'!BS$11*(1+Риски!$B$10)</f>
        <v>1265.3190184960004</v>
      </c>
      <c r="BT23" s="149">
        <f>'Книга допущений'!I149*'Книга допущений'!$B$19^'План продаж'!BT$11*(1+Риски!$B$10)</f>
        <v>1265.3190184960004</v>
      </c>
      <c r="BU23" s="149">
        <f>'Книга допущений'!J149*'Книга допущений'!$B$19^'План продаж'!BU$11*(1+Риски!$B$10)</f>
        <v>1265.3190184960004</v>
      </c>
      <c r="BV23" s="149">
        <f>'Книга допущений'!K149*'Книга допущений'!$B$19^'План продаж'!BV$11*(1+Риски!$B$10)</f>
        <v>1265.3190184960004</v>
      </c>
      <c r="BW23" s="149">
        <f>'Книга допущений'!L149*'Книга допущений'!$B$19^'План продаж'!BW$11*(1+Риски!$B$10)</f>
        <v>1265.3190184960004</v>
      </c>
      <c r="BX23" s="149">
        <f>'Книга допущений'!M149*'Книга допущений'!$B$19^'План продаж'!BX$11*(1+Риски!$B$10)</f>
        <v>1265.3190184960004</v>
      </c>
      <c r="BY23" s="149">
        <f>'Книга допущений'!N149*'Книга допущений'!$B$19^'План продаж'!BY$11*(1+Риски!$B$10)</f>
        <v>1265.3190184960004</v>
      </c>
    </row>
    <row r="24" spans="1:77" s="30" customFormat="1" x14ac:dyDescent="0.25">
      <c r="A24" s="148" t="str">
        <f>'Книга допущений'!A150</f>
        <v>Банный комплекс</v>
      </c>
      <c r="B24" s="96" t="str">
        <f>'Книга допущений'!B150</f>
        <v>руб./чел./сеанс</v>
      </c>
      <c r="C24" s="149">
        <f>'Книга допущений'!L150*'Книга допущений'!$B$19^'План продаж'!C$11*(1+Риски!$B$10)</f>
        <v>500</v>
      </c>
      <c r="D24" s="149">
        <f>'Книга допущений'!M150*'Книга допущений'!$B$19^'План продаж'!D$11*(1+Риски!$B$10)</f>
        <v>500</v>
      </c>
      <c r="E24" s="149">
        <f>'Книга допущений'!N150*'Книга допущений'!$B$19^'План продаж'!E$11*(1+Риски!$B$10)</f>
        <v>500</v>
      </c>
      <c r="F24" s="149">
        <f>'Книга допущений'!C150*'Книга допущений'!$B$19^'План продаж'!F$11*(1+Риски!$B$10)</f>
        <v>520</v>
      </c>
      <c r="G24" s="149">
        <f>'Книга допущений'!D150*'Книга допущений'!$B$19^'План продаж'!G$11*(1+Риски!$B$10)</f>
        <v>520</v>
      </c>
      <c r="H24" s="149">
        <f>'Книга допущений'!E150*'Книга допущений'!$B$19^'План продаж'!H$11*(1+Риски!$B$10)</f>
        <v>520</v>
      </c>
      <c r="I24" s="149">
        <f>'Книга допущений'!F150*'Книга допущений'!$B$19^'План продаж'!I$11*(1+Риски!$B$10)</f>
        <v>520</v>
      </c>
      <c r="J24" s="149">
        <f>'Книга допущений'!G150*'Книга допущений'!$B$19^'План продаж'!J$11*(1+Риски!$B$10)</f>
        <v>520</v>
      </c>
      <c r="K24" s="149">
        <f>'Книга допущений'!H150*'Книга допущений'!$B$19^'План продаж'!K$11*(1+Риски!$B$10)</f>
        <v>520</v>
      </c>
      <c r="L24" s="149">
        <f>'Книга допущений'!I150*'Книга допущений'!$B$19^'План продаж'!L$11*(1+Риски!$B$10)</f>
        <v>520</v>
      </c>
      <c r="M24" s="149">
        <f>'Книга допущений'!J150*'Книга допущений'!$B$19^'План продаж'!M$11*(1+Риски!$B$10)</f>
        <v>520</v>
      </c>
      <c r="N24" s="149">
        <f>'Книга допущений'!K150*'Книга допущений'!$B$19^'План продаж'!N$11*(1+Риски!$B$10)</f>
        <v>520</v>
      </c>
      <c r="O24" s="149">
        <f>'Книга допущений'!L150*'Книга допущений'!$B$19^'План продаж'!O$11*(1+Риски!$B$10)</f>
        <v>520</v>
      </c>
      <c r="P24" s="149">
        <f>'Книга допущений'!M150*'Книга допущений'!$B$19^'План продаж'!P$11*(1+Риски!$B$10)</f>
        <v>520</v>
      </c>
      <c r="Q24" s="149">
        <f>'Книга допущений'!N150*'Книга допущений'!$B$19^'План продаж'!Q$11*(1+Риски!$B$10)</f>
        <v>520</v>
      </c>
      <c r="R24" s="149">
        <f>'Книга допущений'!C150*'Книга допущений'!$B$19^'План продаж'!R$11*(1+Риски!$B$10)</f>
        <v>540.80000000000007</v>
      </c>
      <c r="S24" s="149">
        <f>'Книга допущений'!D150*'Книга допущений'!$B$19^'План продаж'!S$11*(1+Риски!$B$10)</f>
        <v>540.80000000000007</v>
      </c>
      <c r="T24" s="149">
        <f>'Книга допущений'!E150*'Книга допущений'!$B$19^'План продаж'!T$11*(1+Риски!$B$10)</f>
        <v>540.80000000000007</v>
      </c>
      <c r="U24" s="149">
        <f>'Книга допущений'!F150*'Книга допущений'!$B$19^'План продаж'!U$11*(1+Риски!$B$10)</f>
        <v>540.80000000000007</v>
      </c>
      <c r="V24" s="149">
        <f>'Книга допущений'!G150*'Книга допущений'!$B$19^'План продаж'!V$11*(1+Риски!$B$10)</f>
        <v>540.80000000000007</v>
      </c>
      <c r="W24" s="149">
        <f>'Книга допущений'!H150*'Книга допущений'!$B$19^'План продаж'!W$11*(1+Риски!$B$10)</f>
        <v>540.80000000000007</v>
      </c>
      <c r="X24" s="149">
        <f>'Книга допущений'!I150*'Книга допущений'!$B$19^'План продаж'!X$11*(1+Риски!$B$10)</f>
        <v>540.80000000000007</v>
      </c>
      <c r="Y24" s="149">
        <f>'Книга допущений'!J150*'Книга допущений'!$B$19^'План продаж'!Y$11*(1+Риски!$B$10)</f>
        <v>540.80000000000007</v>
      </c>
      <c r="Z24" s="149">
        <f>'Книга допущений'!K150*'Книга допущений'!$B$19^'План продаж'!Z$11*(1+Риски!$B$10)</f>
        <v>540.80000000000007</v>
      </c>
      <c r="AA24" s="149">
        <f>'Книга допущений'!L150*'Книга допущений'!$B$19^'План продаж'!AA$11*(1+Риски!$B$10)</f>
        <v>540.80000000000007</v>
      </c>
      <c r="AB24" s="149">
        <f>'Книга допущений'!M150*'Книга допущений'!$B$19^'План продаж'!AB$11*(1+Риски!$B$10)</f>
        <v>540.80000000000007</v>
      </c>
      <c r="AC24" s="149">
        <f>'Книга допущений'!N150*'Книга допущений'!$B$19^'План продаж'!AC$11*(1+Риски!$B$10)</f>
        <v>540.80000000000007</v>
      </c>
      <c r="AD24" s="149">
        <f>'Книга допущений'!C150*'Книга допущений'!$B$19^'План продаж'!AD$11*(1+Риски!$B$10)</f>
        <v>562.43200000000002</v>
      </c>
      <c r="AE24" s="149">
        <f>'Книга допущений'!D150*'Книга допущений'!$B$19^'План продаж'!AE$11*(1+Риски!$B$10)</f>
        <v>562.43200000000002</v>
      </c>
      <c r="AF24" s="149">
        <f>'Книга допущений'!E150*'Книга допущений'!$B$19^'План продаж'!AF$11*(1+Риски!$B$10)</f>
        <v>562.43200000000002</v>
      </c>
      <c r="AG24" s="149">
        <f>'Книга допущений'!F150*'Книга допущений'!$B$19^'План продаж'!AG$11*(1+Риски!$B$10)</f>
        <v>562.43200000000002</v>
      </c>
      <c r="AH24" s="149">
        <f>'Книга допущений'!G150*'Книга допущений'!$B$19^'План продаж'!AH$11*(1+Риски!$B$10)</f>
        <v>562.43200000000002</v>
      </c>
      <c r="AI24" s="149">
        <f>'Книга допущений'!H150*'Книга допущений'!$B$19^'План продаж'!AI$11*(1+Риски!$B$10)</f>
        <v>562.43200000000002</v>
      </c>
      <c r="AJ24" s="149">
        <f>'Книга допущений'!I150*'Книга допущений'!$B$19^'План продаж'!AJ$11*(1+Риски!$B$10)</f>
        <v>562.43200000000002</v>
      </c>
      <c r="AK24" s="149">
        <f>'Книга допущений'!J150*'Книга допущений'!$B$19^'План продаж'!AK$11*(1+Риски!$B$10)</f>
        <v>562.43200000000002</v>
      </c>
      <c r="AL24" s="149">
        <f>'Книга допущений'!K150*'Книга допущений'!$B$19^'План продаж'!AL$11*(1+Риски!$B$10)</f>
        <v>562.43200000000002</v>
      </c>
      <c r="AM24" s="149">
        <f>'Книга допущений'!L150*'Книга допущений'!$B$19^'План продаж'!AM$11*(1+Риски!$B$10)</f>
        <v>562.43200000000002</v>
      </c>
      <c r="AN24" s="149">
        <f>'Книга допущений'!M150*'Книга допущений'!$B$19^'План продаж'!AN$11*(1+Риски!$B$10)</f>
        <v>562.43200000000002</v>
      </c>
      <c r="AO24" s="149">
        <f>'Книга допущений'!N150*'Книга допущений'!$B$19^'План продаж'!AO$11*(1+Риски!$B$10)</f>
        <v>562.43200000000002</v>
      </c>
      <c r="AP24" s="149">
        <f>'Книга допущений'!C150*'Книга допущений'!$B$19^'План продаж'!AP$11*(1+Риски!$B$10)</f>
        <v>584.92928000000006</v>
      </c>
      <c r="AQ24" s="149">
        <f>'Книга допущений'!D150*'Книга допущений'!$B$19^'План продаж'!AQ$11*(1+Риски!$B$10)</f>
        <v>584.92928000000006</v>
      </c>
      <c r="AR24" s="149">
        <f>'Книга допущений'!E150*'Книга допущений'!$B$19^'План продаж'!AR$11*(1+Риски!$B$10)</f>
        <v>584.92928000000006</v>
      </c>
      <c r="AS24" s="149">
        <f>'Книга допущений'!F150*'Книга допущений'!$B$19^'План продаж'!AS$11*(1+Риски!$B$10)</f>
        <v>584.92928000000006</v>
      </c>
      <c r="AT24" s="149">
        <f>'Книга допущений'!G150*'Книга допущений'!$B$19^'План продаж'!AT$11*(1+Риски!$B$10)</f>
        <v>584.92928000000006</v>
      </c>
      <c r="AU24" s="149">
        <f>'Книга допущений'!H150*'Книга допущений'!$B$19^'План продаж'!AU$11*(1+Риски!$B$10)</f>
        <v>584.92928000000006</v>
      </c>
      <c r="AV24" s="149">
        <f>'Книга допущений'!I150*'Книга допущений'!$B$19^'План продаж'!AV$11*(1+Риски!$B$10)</f>
        <v>584.92928000000006</v>
      </c>
      <c r="AW24" s="149">
        <f>'Книга допущений'!J150*'Книга допущений'!$B$19^'План продаж'!AW$11*(1+Риски!$B$10)</f>
        <v>584.92928000000006</v>
      </c>
      <c r="AX24" s="149">
        <f>'Книга допущений'!K150*'Книга допущений'!$B$19^'План продаж'!AX$11*(1+Риски!$B$10)</f>
        <v>584.92928000000006</v>
      </c>
      <c r="AY24" s="149">
        <f>'Книга допущений'!L150*'Книга допущений'!$B$19^'План продаж'!AY$11*(1+Риски!$B$10)</f>
        <v>584.92928000000006</v>
      </c>
      <c r="AZ24" s="149">
        <f>'Книга допущений'!M150*'Книга допущений'!$B$19^'План продаж'!AZ$11*(1+Риски!$B$10)</f>
        <v>584.92928000000006</v>
      </c>
      <c r="BA24" s="149">
        <f>'Книга допущений'!N150*'Книга допущений'!$B$19^'План продаж'!BA$11*(1+Риски!$B$10)</f>
        <v>584.92928000000006</v>
      </c>
      <c r="BB24" s="149">
        <f>'Книга допущений'!C150*'Книга допущений'!$B$19^'План продаж'!BB$11*(1+Риски!$B$10)</f>
        <v>608.32645120000018</v>
      </c>
      <c r="BC24" s="149">
        <f>'Книга допущений'!D150*'Книга допущений'!$B$19^'План продаж'!BC$11*(1+Риски!$B$10)</f>
        <v>608.32645120000018</v>
      </c>
      <c r="BD24" s="149">
        <f>'Книга допущений'!E150*'Книга допущений'!$B$19^'План продаж'!BD$11*(1+Риски!$B$10)</f>
        <v>608.32645120000018</v>
      </c>
      <c r="BE24" s="149">
        <f>'Книга допущений'!F150*'Книга допущений'!$B$19^'План продаж'!BE$11*(1+Риски!$B$10)</f>
        <v>608.32645120000018</v>
      </c>
      <c r="BF24" s="149">
        <f>'Книга допущений'!G150*'Книга допущений'!$B$19^'План продаж'!BF$11*(1+Риски!$B$10)</f>
        <v>608.32645120000018</v>
      </c>
      <c r="BG24" s="149">
        <f>'Книга допущений'!H150*'Книга допущений'!$B$19^'План продаж'!BG$11*(1+Риски!$B$10)</f>
        <v>608.32645120000018</v>
      </c>
      <c r="BH24" s="149">
        <f>'Книга допущений'!I150*'Книга допущений'!$B$19^'План продаж'!BH$11*(1+Риски!$B$10)</f>
        <v>608.32645120000018</v>
      </c>
      <c r="BI24" s="149">
        <f>'Книга допущений'!J150*'Книга допущений'!$B$19^'План продаж'!BI$11*(1+Риски!$B$10)</f>
        <v>608.32645120000018</v>
      </c>
      <c r="BJ24" s="149">
        <f>'Книга допущений'!K150*'Книга допущений'!$B$19^'План продаж'!BJ$11*(1+Риски!$B$10)</f>
        <v>608.32645120000018</v>
      </c>
      <c r="BK24" s="149">
        <f>'Книга допущений'!L150*'Книга допущений'!$B$19^'План продаж'!BK$11*(1+Риски!$B$10)</f>
        <v>608.32645120000018</v>
      </c>
      <c r="BL24" s="149">
        <f>'Книга допущений'!M150*'Книга допущений'!$B$19^'План продаж'!BL$11*(1+Риски!$B$10)</f>
        <v>608.32645120000018</v>
      </c>
      <c r="BM24" s="149">
        <f>'Книга допущений'!N150*'Книга допущений'!$B$19^'План продаж'!BM$11*(1+Риски!$B$10)</f>
        <v>608.32645120000018</v>
      </c>
      <c r="BN24" s="149">
        <f>'Книга допущений'!C150*'Книга допущений'!$B$19^'План продаж'!BN$11*(1+Риски!$B$10)</f>
        <v>632.65950924800018</v>
      </c>
      <c r="BO24" s="149">
        <f>'Книга допущений'!D150*'Книга допущений'!$B$19^'План продаж'!BO$11*(1+Риски!$B$10)</f>
        <v>632.65950924800018</v>
      </c>
      <c r="BP24" s="149">
        <f>'Книга допущений'!E150*'Книга допущений'!$B$19^'План продаж'!BP$11*(1+Риски!$B$10)</f>
        <v>632.65950924800018</v>
      </c>
      <c r="BQ24" s="149">
        <f>'Книга допущений'!F150*'Книга допущений'!$B$19^'План продаж'!BQ$11*(1+Риски!$B$10)</f>
        <v>632.65950924800018</v>
      </c>
      <c r="BR24" s="149">
        <f>'Книга допущений'!G150*'Книга допущений'!$B$19^'План продаж'!BR$11*(1+Риски!$B$10)</f>
        <v>632.65950924800018</v>
      </c>
      <c r="BS24" s="149">
        <f>'Книга допущений'!H150*'Книга допущений'!$B$19^'План продаж'!BS$11*(1+Риски!$B$10)</f>
        <v>632.65950924800018</v>
      </c>
      <c r="BT24" s="149">
        <f>'Книга допущений'!I150*'Книга допущений'!$B$19^'План продаж'!BT$11*(1+Риски!$B$10)</f>
        <v>632.65950924800018</v>
      </c>
      <c r="BU24" s="149">
        <f>'Книга допущений'!J150*'Книга допущений'!$B$19^'План продаж'!BU$11*(1+Риски!$B$10)</f>
        <v>632.65950924800018</v>
      </c>
      <c r="BV24" s="149">
        <f>'Книга допущений'!K150*'Книга допущений'!$B$19^'План продаж'!BV$11*(1+Риски!$B$10)</f>
        <v>632.65950924800018</v>
      </c>
      <c r="BW24" s="149">
        <f>'Книга допущений'!L150*'Книга допущений'!$B$19^'План продаж'!BW$11*(1+Риски!$B$10)</f>
        <v>632.65950924800018</v>
      </c>
      <c r="BX24" s="149">
        <f>'Книга допущений'!M150*'Книга допущений'!$B$19^'План продаж'!BX$11*(1+Риски!$B$10)</f>
        <v>632.65950924800018</v>
      </c>
      <c r="BY24" s="149">
        <f>'Книга допущений'!N150*'Книга допущений'!$B$19^'План продаж'!BY$11*(1+Риски!$B$10)</f>
        <v>632.65950924800018</v>
      </c>
    </row>
    <row r="25" spans="1:77" s="30" customFormat="1" x14ac:dyDescent="0.25">
      <c r="A25" s="148" t="str">
        <f>'Книга допущений'!A151</f>
        <v>Прокат спортивного инвентаря</v>
      </c>
      <c r="B25" s="96" t="str">
        <f>'Книга допущений'!B151</f>
        <v>руб./чел./сеанс</v>
      </c>
      <c r="C25" s="149">
        <f>'Книга допущений'!L151*'Книга допущений'!$B$19^'План продаж'!C$11*(1+Риски!$B$10)</f>
        <v>400</v>
      </c>
      <c r="D25" s="149">
        <f>'Книга допущений'!M151*'Книга допущений'!$B$19^'План продаж'!D$11*(1+Риски!$B$10)</f>
        <v>400</v>
      </c>
      <c r="E25" s="149">
        <f>'Книга допущений'!N151*'Книга допущений'!$B$19^'План продаж'!E$11*(1+Риски!$B$10)</f>
        <v>400</v>
      </c>
      <c r="F25" s="149">
        <f>'Книга допущений'!C151*'Книга допущений'!$B$19^'План продаж'!F$11*(1+Риски!$B$10)</f>
        <v>416</v>
      </c>
      <c r="G25" s="149">
        <f>'Книга допущений'!D151*'Книга допущений'!$B$19^'План продаж'!G$11*(1+Риски!$B$10)</f>
        <v>416</v>
      </c>
      <c r="H25" s="149">
        <f>'Книга допущений'!E151*'Книга допущений'!$B$19^'План продаж'!H$11*(1+Риски!$B$10)</f>
        <v>416</v>
      </c>
      <c r="I25" s="149">
        <f>'Книга допущений'!F151*'Книга допущений'!$B$19^'План продаж'!I$11*(1+Риски!$B$10)</f>
        <v>416</v>
      </c>
      <c r="J25" s="149">
        <f>'Книга допущений'!G151*'Книга допущений'!$B$19^'План продаж'!J$11*(1+Риски!$B$10)</f>
        <v>416</v>
      </c>
      <c r="K25" s="149">
        <f>'Книга допущений'!H151*'Книга допущений'!$B$19^'План продаж'!K$11*(1+Риски!$B$10)</f>
        <v>416</v>
      </c>
      <c r="L25" s="149">
        <f>'Книга допущений'!I151*'Книга допущений'!$B$19^'План продаж'!L$11*(1+Риски!$B$10)</f>
        <v>416</v>
      </c>
      <c r="M25" s="149">
        <f>'Книга допущений'!J151*'Книга допущений'!$B$19^'План продаж'!M$11*(1+Риски!$B$10)</f>
        <v>416</v>
      </c>
      <c r="N25" s="149">
        <f>'Книга допущений'!K151*'Книга допущений'!$B$19^'План продаж'!N$11*(1+Риски!$B$10)</f>
        <v>416</v>
      </c>
      <c r="O25" s="149">
        <f>'Книга допущений'!L151*'Книга допущений'!$B$19^'План продаж'!O$11*(1+Риски!$B$10)</f>
        <v>416</v>
      </c>
      <c r="P25" s="149">
        <f>'Книга допущений'!M151*'Книга допущений'!$B$19^'План продаж'!P$11*(1+Риски!$B$10)</f>
        <v>416</v>
      </c>
      <c r="Q25" s="149">
        <f>'Книга допущений'!N151*'Книга допущений'!$B$19^'План продаж'!Q$11*(1+Риски!$B$10)</f>
        <v>416</v>
      </c>
      <c r="R25" s="149">
        <f>'Книга допущений'!C151*'Книга допущений'!$B$19^'План продаж'!R$11*(1+Риски!$B$10)</f>
        <v>432.64000000000004</v>
      </c>
      <c r="S25" s="149">
        <f>'Книга допущений'!D151*'Книга допущений'!$B$19^'План продаж'!S$11*(1+Риски!$B$10)</f>
        <v>432.64000000000004</v>
      </c>
      <c r="T25" s="149">
        <f>'Книга допущений'!E151*'Книга допущений'!$B$19^'План продаж'!T$11*(1+Риски!$B$10)</f>
        <v>432.64000000000004</v>
      </c>
      <c r="U25" s="149">
        <f>'Книга допущений'!F151*'Книга допущений'!$B$19^'План продаж'!U$11*(1+Риски!$B$10)</f>
        <v>432.64000000000004</v>
      </c>
      <c r="V25" s="149">
        <f>'Книга допущений'!G151*'Книга допущений'!$B$19^'План продаж'!V$11*(1+Риски!$B$10)</f>
        <v>432.64000000000004</v>
      </c>
      <c r="W25" s="149">
        <f>'Книга допущений'!H151*'Книга допущений'!$B$19^'План продаж'!W$11*(1+Риски!$B$10)</f>
        <v>432.64000000000004</v>
      </c>
      <c r="X25" s="149">
        <f>'Книга допущений'!I151*'Книга допущений'!$B$19^'План продаж'!X$11*(1+Риски!$B$10)</f>
        <v>432.64000000000004</v>
      </c>
      <c r="Y25" s="149">
        <f>'Книга допущений'!J151*'Книга допущений'!$B$19^'План продаж'!Y$11*(1+Риски!$B$10)</f>
        <v>432.64000000000004</v>
      </c>
      <c r="Z25" s="149">
        <f>'Книга допущений'!K151*'Книга допущений'!$B$19^'План продаж'!Z$11*(1+Риски!$B$10)</f>
        <v>432.64000000000004</v>
      </c>
      <c r="AA25" s="149">
        <f>'Книга допущений'!L151*'Книга допущений'!$B$19^'План продаж'!AA$11*(1+Риски!$B$10)</f>
        <v>432.64000000000004</v>
      </c>
      <c r="AB25" s="149">
        <f>'Книга допущений'!M151*'Книга допущений'!$B$19^'План продаж'!AB$11*(1+Риски!$B$10)</f>
        <v>432.64000000000004</v>
      </c>
      <c r="AC25" s="149">
        <f>'Книга допущений'!N151*'Книга допущений'!$B$19^'План продаж'!AC$11*(1+Риски!$B$10)</f>
        <v>432.64000000000004</v>
      </c>
      <c r="AD25" s="149">
        <f>'Книга допущений'!C151*'Книга допущений'!$B$19^'План продаж'!AD$11*(1+Риски!$B$10)</f>
        <v>449.94560000000001</v>
      </c>
      <c r="AE25" s="149">
        <f>'Книга допущений'!D151*'Книга допущений'!$B$19^'План продаж'!AE$11*(1+Риски!$B$10)</f>
        <v>449.94560000000001</v>
      </c>
      <c r="AF25" s="149">
        <f>'Книга допущений'!E151*'Книга допущений'!$B$19^'План продаж'!AF$11*(1+Риски!$B$10)</f>
        <v>449.94560000000001</v>
      </c>
      <c r="AG25" s="149">
        <f>'Книга допущений'!F151*'Книга допущений'!$B$19^'План продаж'!AG$11*(1+Риски!$B$10)</f>
        <v>449.94560000000001</v>
      </c>
      <c r="AH25" s="149">
        <f>'Книга допущений'!G151*'Книга допущений'!$B$19^'План продаж'!AH$11*(1+Риски!$B$10)</f>
        <v>449.94560000000001</v>
      </c>
      <c r="AI25" s="149">
        <f>'Книга допущений'!H151*'Книга допущений'!$B$19^'План продаж'!AI$11*(1+Риски!$B$10)</f>
        <v>449.94560000000001</v>
      </c>
      <c r="AJ25" s="149">
        <f>'Книга допущений'!I151*'Книга допущений'!$B$19^'План продаж'!AJ$11*(1+Риски!$B$10)</f>
        <v>449.94560000000001</v>
      </c>
      <c r="AK25" s="149">
        <f>'Книга допущений'!J151*'Книга допущений'!$B$19^'План продаж'!AK$11*(1+Риски!$B$10)</f>
        <v>449.94560000000001</v>
      </c>
      <c r="AL25" s="149">
        <f>'Книга допущений'!K151*'Книга допущений'!$B$19^'План продаж'!AL$11*(1+Риски!$B$10)</f>
        <v>449.94560000000001</v>
      </c>
      <c r="AM25" s="149">
        <f>'Книга допущений'!L151*'Книга допущений'!$B$19^'План продаж'!AM$11*(1+Риски!$B$10)</f>
        <v>449.94560000000001</v>
      </c>
      <c r="AN25" s="149">
        <f>'Книга допущений'!M151*'Книга допущений'!$B$19^'План продаж'!AN$11*(1+Риски!$B$10)</f>
        <v>449.94560000000001</v>
      </c>
      <c r="AO25" s="149">
        <f>'Книга допущений'!N151*'Книга допущений'!$B$19^'План продаж'!AO$11*(1+Риски!$B$10)</f>
        <v>449.94560000000001</v>
      </c>
      <c r="AP25" s="149">
        <f>'Книга допущений'!C151*'Книга допущений'!$B$19^'План продаж'!AP$11*(1+Риски!$B$10)</f>
        <v>467.94342400000011</v>
      </c>
      <c r="AQ25" s="149">
        <f>'Книга допущений'!D151*'Книга допущений'!$B$19^'План продаж'!AQ$11*(1+Риски!$B$10)</f>
        <v>467.94342400000011</v>
      </c>
      <c r="AR25" s="149">
        <f>'Книга допущений'!E151*'Книга допущений'!$B$19^'План продаж'!AR$11*(1+Риски!$B$10)</f>
        <v>467.94342400000011</v>
      </c>
      <c r="AS25" s="149">
        <f>'Книга допущений'!F151*'Книга допущений'!$B$19^'План продаж'!AS$11*(1+Риски!$B$10)</f>
        <v>467.94342400000011</v>
      </c>
      <c r="AT25" s="149">
        <f>'Книга допущений'!G151*'Книга допущений'!$B$19^'План продаж'!AT$11*(1+Риски!$B$10)</f>
        <v>467.94342400000011</v>
      </c>
      <c r="AU25" s="149">
        <f>'Книга допущений'!H151*'Книга допущений'!$B$19^'План продаж'!AU$11*(1+Риски!$B$10)</f>
        <v>467.94342400000011</v>
      </c>
      <c r="AV25" s="149">
        <f>'Книга допущений'!I151*'Книга допущений'!$B$19^'План продаж'!AV$11*(1+Риски!$B$10)</f>
        <v>467.94342400000011</v>
      </c>
      <c r="AW25" s="149">
        <f>'Книга допущений'!J151*'Книга допущений'!$B$19^'План продаж'!AW$11*(1+Риски!$B$10)</f>
        <v>467.94342400000011</v>
      </c>
      <c r="AX25" s="149">
        <f>'Книга допущений'!K151*'Книга допущений'!$B$19^'План продаж'!AX$11*(1+Риски!$B$10)</f>
        <v>467.94342400000011</v>
      </c>
      <c r="AY25" s="149">
        <f>'Книга допущений'!L151*'Книга допущений'!$B$19^'План продаж'!AY$11*(1+Риски!$B$10)</f>
        <v>467.94342400000011</v>
      </c>
      <c r="AZ25" s="149">
        <f>'Книга допущений'!M151*'Книга допущений'!$B$19^'План продаж'!AZ$11*(1+Риски!$B$10)</f>
        <v>467.94342400000011</v>
      </c>
      <c r="BA25" s="149">
        <f>'Книга допущений'!N151*'Книга допущений'!$B$19^'План продаж'!BA$11*(1+Риски!$B$10)</f>
        <v>467.94342400000011</v>
      </c>
      <c r="BB25" s="149">
        <f>'Книга допущений'!C151*'Книга допущений'!$B$19^'План продаж'!BB$11*(1+Риски!$B$10)</f>
        <v>486.66116096000013</v>
      </c>
      <c r="BC25" s="149">
        <f>'Книга допущений'!D151*'Книга допущений'!$B$19^'План продаж'!BC$11*(1+Риски!$B$10)</f>
        <v>486.66116096000013</v>
      </c>
      <c r="BD25" s="149">
        <f>'Книга допущений'!E151*'Книга допущений'!$B$19^'План продаж'!BD$11*(1+Риски!$B$10)</f>
        <v>486.66116096000013</v>
      </c>
      <c r="BE25" s="149">
        <f>'Книга допущений'!F151*'Книга допущений'!$B$19^'План продаж'!BE$11*(1+Риски!$B$10)</f>
        <v>486.66116096000013</v>
      </c>
      <c r="BF25" s="149">
        <f>'Книга допущений'!G151*'Книга допущений'!$B$19^'План продаж'!BF$11*(1+Риски!$B$10)</f>
        <v>486.66116096000013</v>
      </c>
      <c r="BG25" s="149">
        <f>'Книга допущений'!H151*'Книга допущений'!$B$19^'План продаж'!BG$11*(1+Риски!$B$10)</f>
        <v>486.66116096000013</v>
      </c>
      <c r="BH25" s="149">
        <f>'Книга допущений'!I151*'Книга допущений'!$B$19^'План продаж'!BH$11*(1+Риски!$B$10)</f>
        <v>486.66116096000013</v>
      </c>
      <c r="BI25" s="149">
        <f>'Книга допущений'!J151*'Книга допущений'!$B$19^'План продаж'!BI$11*(1+Риски!$B$10)</f>
        <v>486.66116096000013</v>
      </c>
      <c r="BJ25" s="149">
        <f>'Книга допущений'!K151*'Книга допущений'!$B$19^'План продаж'!BJ$11*(1+Риски!$B$10)</f>
        <v>486.66116096000013</v>
      </c>
      <c r="BK25" s="149">
        <f>'Книга допущений'!L151*'Книга допущений'!$B$19^'План продаж'!BK$11*(1+Риски!$B$10)</f>
        <v>486.66116096000013</v>
      </c>
      <c r="BL25" s="149">
        <f>'Книга допущений'!M151*'Книга допущений'!$B$19^'План продаж'!BL$11*(1+Риски!$B$10)</f>
        <v>486.66116096000013</v>
      </c>
      <c r="BM25" s="149">
        <f>'Книга допущений'!N151*'Книга допущений'!$B$19^'План продаж'!BM$11*(1+Риски!$B$10)</f>
        <v>486.66116096000013</v>
      </c>
      <c r="BN25" s="149">
        <f>'Книга допущений'!C151*'Книга допущений'!$B$19^'План продаж'!BN$11*(1+Риски!$B$10)</f>
        <v>506.12760739840013</v>
      </c>
      <c r="BO25" s="149">
        <f>'Книга допущений'!D151*'Книга допущений'!$B$19^'План продаж'!BO$11*(1+Риски!$B$10)</f>
        <v>506.12760739840013</v>
      </c>
      <c r="BP25" s="149">
        <f>'Книга допущений'!E151*'Книга допущений'!$B$19^'План продаж'!BP$11*(1+Риски!$B$10)</f>
        <v>506.12760739840013</v>
      </c>
      <c r="BQ25" s="149">
        <f>'Книга допущений'!F151*'Книга допущений'!$B$19^'План продаж'!BQ$11*(1+Риски!$B$10)</f>
        <v>506.12760739840013</v>
      </c>
      <c r="BR25" s="149">
        <f>'Книга допущений'!G151*'Книга допущений'!$B$19^'План продаж'!BR$11*(1+Риски!$B$10)</f>
        <v>506.12760739840013</v>
      </c>
      <c r="BS25" s="149">
        <f>'Книга допущений'!H151*'Книга допущений'!$B$19^'План продаж'!BS$11*(1+Риски!$B$10)</f>
        <v>506.12760739840013</v>
      </c>
      <c r="BT25" s="149">
        <f>'Книга допущений'!I151*'Книга допущений'!$B$19^'План продаж'!BT$11*(1+Риски!$B$10)</f>
        <v>506.12760739840013</v>
      </c>
      <c r="BU25" s="149">
        <f>'Книга допущений'!J151*'Книга допущений'!$B$19^'План продаж'!BU$11*(1+Риски!$B$10)</f>
        <v>506.12760739840013</v>
      </c>
      <c r="BV25" s="149">
        <f>'Книга допущений'!K151*'Книга допущений'!$B$19^'План продаж'!BV$11*(1+Риски!$B$10)</f>
        <v>506.12760739840013</v>
      </c>
      <c r="BW25" s="149">
        <f>'Книга допущений'!L151*'Книга допущений'!$B$19^'План продаж'!BW$11*(1+Риски!$B$10)</f>
        <v>506.12760739840013</v>
      </c>
      <c r="BX25" s="149">
        <f>'Книга допущений'!M151*'Книга допущений'!$B$19^'План продаж'!BX$11*(1+Риски!$B$10)</f>
        <v>506.12760739840013</v>
      </c>
      <c r="BY25" s="149">
        <f>'Книга допущений'!N151*'Книга допущений'!$B$19^'План продаж'!BY$11*(1+Риски!$B$10)</f>
        <v>506.12760739840013</v>
      </c>
    </row>
    <row r="26" spans="1:77" s="30" customFormat="1" x14ac:dyDescent="0.25">
      <c r="A26" s="148" t="str">
        <f>'Книга допущений'!A152</f>
        <v>Барбекю-парк</v>
      </c>
      <c r="B26" s="96" t="str">
        <f>'Книга допущений'!B152</f>
        <v>руб./домик/сутки</v>
      </c>
      <c r="C26" s="149">
        <f>'Книга допущений'!L152*'Книга допущений'!$B$19^'План продаж'!C$11*(1+Риски!$B$10)</f>
        <v>3000</v>
      </c>
      <c r="D26" s="149">
        <f>'Книга допущений'!M152*'Книга допущений'!$B$19^'План продаж'!D$11*(1+Риски!$B$10)</f>
        <v>3000</v>
      </c>
      <c r="E26" s="149">
        <f>'Книга допущений'!N152*'Книга допущений'!$B$19^'План продаж'!E$11*(1+Риски!$B$10)</f>
        <v>3000</v>
      </c>
      <c r="F26" s="149">
        <f>'Книга допущений'!C152*'Книга допущений'!$B$19^'План продаж'!F$11*(1+Риски!$B$10)</f>
        <v>3120</v>
      </c>
      <c r="G26" s="149">
        <f>'Книга допущений'!D152*'Книга допущений'!$B$19^'План продаж'!G$11*(1+Риски!$B$10)</f>
        <v>3120</v>
      </c>
      <c r="H26" s="149">
        <f>'Книга допущений'!E152*'Книга допущений'!$B$19^'План продаж'!H$11*(1+Риски!$B$10)</f>
        <v>3120</v>
      </c>
      <c r="I26" s="149">
        <f>'Книга допущений'!F152*'Книга допущений'!$B$19^'План продаж'!I$11*(1+Риски!$B$10)</f>
        <v>3120</v>
      </c>
      <c r="J26" s="149">
        <f>'Книга допущений'!G152*'Книга допущений'!$B$19^'План продаж'!J$11*(1+Риски!$B$10)</f>
        <v>3120</v>
      </c>
      <c r="K26" s="149">
        <f>'Книга допущений'!H152*'Книга допущений'!$B$19^'План продаж'!K$11*(1+Риски!$B$10)</f>
        <v>3120</v>
      </c>
      <c r="L26" s="149">
        <f>'Книга допущений'!I152*'Книга допущений'!$B$19^'План продаж'!L$11*(1+Риски!$B$10)</f>
        <v>3120</v>
      </c>
      <c r="M26" s="149">
        <f>'Книга допущений'!J152*'Книга допущений'!$B$19^'План продаж'!M$11*(1+Риски!$B$10)</f>
        <v>3120</v>
      </c>
      <c r="N26" s="149">
        <f>'Книга допущений'!K152*'Книга допущений'!$B$19^'План продаж'!N$11*(1+Риски!$B$10)</f>
        <v>3120</v>
      </c>
      <c r="O26" s="149">
        <f>'Книга допущений'!L152*'Книга допущений'!$B$19^'План продаж'!O$11*(1+Риски!$B$10)</f>
        <v>3120</v>
      </c>
      <c r="P26" s="149">
        <f>'Книга допущений'!M152*'Книга допущений'!$B$19^'План продаж'!P$11*(1+Риски!$B$10)</f>
        <v>3120</v>
      </c>
      <c r="Q26" s="149">
        <f>'Книга допущений'!N152*'Книга допущений'!$B$19^'План продаж'!Q$11*(1+Риски!$B$10)</f>
        <v>3120</v>
      </c>
      <c r="R26" s="149">
        <f>'Книга допущений'!C152*'Книга допущений'!$B$19^'План продаж'!R$11*(1+Риски!$B$10)</f>
        <v>3244.8</v>
      </c>
      <c r="S26" s="149">
        <f>'Книга допущений'!D152*'Книга допущений'!$B$19^'План продаж'!S$11*(1+Риски!$B$10)</f>
        <v>3244.8</v>
      </c>
      <c r="T26" s="149">
        <f>'Книга допущений'!E152*'Книга допущений'!$B$19^'План продаж'!T$11*(1+Риски!$B$10)</f>
        <v>3244.8</v>
      </c>
      <c r="U26" s="149">
        <f>'Книга допущений'!F152*'Книга допущений'!$B$19^'План продаж'!U$11*(1+Риски!$B$10)</f>
        <v>3244.8</v>
      </c>
      <c r="V26" s="149">
        <f>'Книга допущений'!G152*'Книга допущений'!$B$19^'План продаж'!V$11*(1+Риски!$B$10)</f>
        <v>3244.8</v>
      </c>
      <c r="W26" s="149">
        <f>'Книга допущений'!H152*'Книга допущений'!$B$19^'План продаж'!W$11*(1+Риски!$B$10)</f>
        <v>3244.8</v>
      </c>
      <c r="X26" s="149">
        <f>'Книга допущений'!I152*'Книга допущений'!$B$19^'План продаж'!X$11*(1+Риски!$B$10)</f>
        <v>3244.8</v>
      </c>
      <c r="Y26" s="149">
        <f>'Книга допущений'!J152*'Книга допущений'!$B$19^'План продаж'!Y$11*(1+Риски!$B$10)</f>
        <v>3244.8</v>
      </c>
      <c r="Z26" s="149">
        <f>'Книга допущений'!K152*'Книга допущений'!$B$19^'План продаж'!Z$11*(1+Риски!$B$10)</f>
        <v>3244.8</v>
      </c>
      <c r="AA26" s="149">
        <f>'Книга допущений'!L152*'Книга допущений'!$B$19^'План продаж'!AA$11*(1+Риски!$B$10)</f>
        <v>3244.8</v>
      </c>
      <c r="AB26" s="149">
        <f>'Книга допущений'!M152*'Книга допущений'!$B$19^'План продаж'!AB$11*(1+Риски!$B$10)</f>
        <v>3244.8</v>
      </c>
      <c r="AC26" s="149">
        <f>'Книга допущений'!N152*'Книга допущений'!$B$19^'План продаж'!AC$11*(1+Риски!$B$10)</f>
        <v>3244.8</v>
      </c>
      <c r="AD26" s="149">
        <f>'Книга допущений'!C152*'Книга допущений'!$B$19^'План продаж'!AD$11*(1+Риски!$B$10)</f>
        <v>3374.5920000000001</v>
      </c>
      <c r="AE26" s="149">
        <f>'Книга допущений'!D152*'Книга допущений'!$B$19^'План продаж'!AE$11*(1+Риски!$B$10)</f>
        <v>3374.5920000000001</v>
      </c>
      <c r="AF26" s="149">
        <f>'Книга допущений'!E152*'Книга допущений'!$B$19^'План продаж'!AF$11*(1+Риски!$B$10)</f>
        <v>3374.5920000000001</v>
      </c>
      <c r="AG26" s="149">
        <f>'Книга допущений'!F152*'Книга допущений'!$B$19^'План продаж'!AG$11*(1+Риски!$B$10)</f>
        <v>3374.5920000000001</v>
      </c>
      <c r="AH26" s="149">
        <f>'Книга допущений'!G152*'Книга допущений'!$B$19^'План продаж'!AH$11*(1+Риски!$B$10)</f>
        <v>3374.5920000000001</v>
      </c>
      <c r="AI26" s="149">
        <f>'Книга допущений'!H152*'Книга допущений'!$B$19^'План продаж'!AI$11*(1+Риски!$B$10)</f>
        <v>3374.5920000000001</v>
      </c>
      <c r="AJ26" s="149">
        <f>'Книга допущений'!I152*'Книга допущений'!$B$19^'План продаж'!AJ$11*(1+Риски!$B$10)</f>
        <v>3374.5920000000001</v>
      </c>
      <c r="AK26" s="149">
        <f>'Книга допущений'!J152*'Книга допущений'!$B$19^'План продаж'!AK$11*(1+Риски!$B$10)</f>
        <v>3374.5920000000001</v>
      </c>
      <c r="AL26" s="149">
        <f>'Книга допущений'!K152*'Книга допущений'!$B$19^'План продаж'!AL$11*(1+Риски!$B$10)</f>
        <v>3374.5920000000001</v>
      </c>
      <c r="AM26" s="149">
        <f>'Книга допущений'!L152*'Книга допущений'!$B$19^'План продаж'!AM$11*(1+Риски!$B$10)</f>
        <v>3374.5920000000001</v>
      </c>
      <c r="AN26" s="149">
        <f>'Книга допущений'!M152*'Книга допущений'!$B$19^'План продаж'!AN$11*(1+Риски!$B$10)</f>
        <v>3374.5920000000001</v>
      </c>
      <c r="AO26" s="149">
        <f>'Книга допущений'!N152*'Книга допущений'!$B$19^'План продаж'!AO$11*(1+Риски!$B$10)</f>
        <v>3374.5920000000001</v>
      </c>
      <c r="AP26" s="149">
        <f>'Книга допущений'!C152*'Книга допущений'!$B$19^'План продаж'!AP$11*(1+Риски!$B$10)</f>
        <v>3509.5756800000008</v>
      </c>
      <c r="AQ26" s="149">
        <f>'Книга допущений'!D152*'Книга допущений'!$B$19^'План продаж'!AQ$11*(1+Риски!$B$10)</f>
        <v>3509.5756800000008</v>
      </c>
      <c r="AR26" s="149">
        <f>'Книга допущений'!E152*'Книга допущений'!$B$19^'План продаж'!AR$11*(1+Риски!$B$10)</f>
        <v>3509.5756800000008</v>
      </c>
      <c r="AS26" s="149">
        <f>'Книга допущений'!F152*'Книга допущений'!$B$19^'План продаж'!AS$11*(1+Риски!$B$10)</f>
        <v>3509.5756800000008</v>
      </c>
      <c r="AT26" s="149">
        <f>'Книга допущений'!G152*'Книга допущений'!$B$19^'План продаж'!AT$11*(1+Риски!$B$10)</f>
        <v>3509.5756800000008</v>
      </c>
      <c r="AU26" s="149">
        <f>'Книга допущений'!H152*'Книга допущений'!$B$19^'План продаж'!AU$11*(1+Риски!$B$10)</f>
        <v>3509.5756800000008</v>
      </c>
      <c r="AV26" s="149">
        <f>'Книга допущений'!I152*'Книга допущений'!$B$19^'План продаж'!AV$11*(1+Риски!$B$10)</f>
        <v>3509.5756800000008</v>
      </c>
      <c r="AW26" s="149">
        <f>'Книга допущений'!J152*'Книга допущений'!$B$19^'План продаж'!AW$11*(1+Риски!$B$10)</f>
        <v>3509.5756800000008</v>
      </c>
      <c r="AX26" s="149">
        <f>'Книга допущений'!K152*'Книга допущений'!$B$19^'План продаж'!AX$11*(1+Риски!$B$10)</f>
        <v>3509.5756800000008</v>
      </c>
      <c r="AY26" s="149">
        <f>'Книга допущений'!L152*'Книга допущений'!$B$19^'План продаж'!AY$11*(1+Риски!$B$10)</f>
        <v>3509.5756800000008</v>
      </c>
      <c r="AZ26" s="149">
        <f>'Книга допущений'!M152*'Книга допущений'!$B$19^'План продаж'!AZ$11*(1+Риски!$B$10)</f>
        <v>3509.5756800000008</v>
      </c>
      <c r="BA26" s="149">
        <f>'Книга допущений'!N152*'Книга допущений'!$B$19^'План продаж'!BA$11*(1+Риски!$B$10)</f>
        <v>3509.5756800000008</v>
      </c>
      <c r="BB26" s="149">
        <f>'Книга допущений'!C152*'Книга допущений'!$B$19^'План продаж'!BB$11*(1+Риски!$B$10)</f>
        <v>3649.9587072000008</v>
      </c>
      <c r="BC26" s="149">
        <f>'Книга допущений'!D152*'Книга допущений'!$B$19^'План продаж'!BC$11*(1+Риски!$B$10)</f>
        <v>3649.9587072000008</v>
      </c>
      <c r="BD26" s="149">
        <f>'Книга допущений'!E152*'Книга допущений'!$B$19^'План продаж'!BD$11*(1+Риски!$B$10)</f>
        <v>3649.9587072000008</v>
      </c>
      <c r="BE26" s="149">
        <f>'Книга допущений'!F152*'Книга допущений'!$B$19^'План продаж'!BE$11*(1+Риски!$B$10)</f>
        <v>3649.9587072000008</v>
      </c>
      <c r="BF26" s="149">
        <f>'Книга допущений'!G152*'Книга допущений'!$B$19^'План продаж'!BF$11*(1+Риски!$B$10)</f>
        <v>3649.9587072000008</v>
      </c>
      <c r="BG26" s="149">
        <f>'Книга допущений'!H152*'Книга допущений'!$B$19^'План продаж'!BG$11*(1+Риски!$B$10)</f>
        <v>3649.9587072000008</v>
      </c>
      <c r="BH26" s="149">
        <f>'Книга допущений'!I152*'Книга допущений'!$B$19^'План продаж'!BH$11*(1+Риски!$B$10)</f>
        <v>3649.9587072000008</v>
      </c>
      <c r="BI26" s="149">
        <f>'Книга допущений'!J152*'Книга допущений'!$B$19^'План продаж'!BI$11*(1+Риски!$B$10)</f>
        <v>3649.9587072000008</v>
      </c>
      <c r="BJ26" s="149">
        <f>'Книга допущений'!K152*'Книга допущений'!$B$19^'План продаж'!BJ$11*(1+Риски!$B$10)</f>
        <v>3649.9587072000008</v>
      </c>
      <c r="BK26" s="149">
        <f>'Книга допущений'!L152*'Книга допущений'!$B$19^'План продаж'!BK$11*(1+Риски!$B$10)</f>
        <v>3649.9587072000008</v>
      </c>
      <c r="BL26" s="149">
        <f>'Книга допущений'!M152*'Книга допущений'!$B$19^'План продаж'!BL$11*(1+Риски!$B$10)</f>
        <v>3649.9587072000008</v>
      </c>
      <c r="BM26" s="149">
        <f>'Книга допущений'!N152*'Книга допущений'!$B$19^'План продаж'!BM$11*(1+Риски!$B$10)</f>
        <v>3649.9587072000008</v>
      </c>
      <c r="BN26" s="149">
        <f>'Книга допущений'!C152*'Книга допущений'!$B$19^'План продаж'!BN$11*(1+Риски!$B$10)</f>
        <v>3795.9570554880011</v>
      </c>
      <c r="BO26" s="149">
        <f>'Книга допущений'!D152*'Книга допущений'!$B$19^'План продаж'!BO$11*(1+Риски!$B$10)</f>
        <v>3795.9570554880011</v>
      </c>
      <c r="BP26" s="149">
        <f>'Книга допущений'!E152*'Книга допущений'!$B$19^'План продаж'!BP$11*(1+Риски!$B$10)</f>
        <v>3795.9570554880011</v>
      </c>
      <c r="BQ26" s="149">
        <f>'Книга допущений'!F152*'Книга допущений'!$B$19^'План продаж'!BQ$11*(1+Риски!$B$10)</f>
        <v>3795.9570554880011</v>
      </c>
      <c r="BR26" s="149">
        <f>'Книга допущений'!G152*'Книга допущений'!$B$19^'План продаж'!BR$11*(1+Риски!$B$10)</f>
        <v>3795.9570554880011</v>
      </c>
      <c r="BS26" s="149">
        <f>'Книга допущений'!H152*'Книга допущений'!$B$19^'План продаж'!BS$11*(1+Риски!$B$10)</f>
        <v>3795.9570554880011</v>
      </c>
      <c r="BT26" s="149">
        <f>'Книга допущений'!I152*'Книга допущений'!$B$19^'План продаж'!BT$11*(1+Риски!$B$10)</f>
        <v>3795.9570554880011</v>
      </c>
      <c r="BU26" s="149">
        <f>'Книга допущений'!J152*'Книга допущений'!$B$19^'План продаж'!BU$11*(1+Риски!$B$10)</f>
        <v>3795.9570554880011</v>
      </c>
      <c r="BV26" s="149">
        <f>'Книга допущений'!K152*'Книга допущений'!$B$19^'План продаж'!BV$11*(1+Риски!$B$10)</f>
        <v>3795.9570554880011</v>
      </c>
      <c r="BW26" s="149">
        <f>'Книга допущений'!L152*'Книга допущений'!$B$19^'План продаж'!BW$11*(1+Риски!$B$10)</f>
        <v>3795.9570554880011</v>
      </c>
      <c r="BX26" s="149">
        <f>'Книга допущений'!M152*'Книга допущений'!$B$19^'План продаж'!BX$11*(1+Риски!$B$10)</f>
        <v>3795.9570554880011</v>
      </c>
      <c r="BY26" s="149">
        <f>'Книга допущений'!N152*'Книга допущений'!$B$19^'План продаж'!BY$11*(1+Риски!$B$10)</f>
        <v>3795.9570554880011</v>
      </c>
    </row>
    <row r="27" spans="1:77" s="16" customFormat="1" x14ac:dyDescent="0.25">
      <c r="A27" s="120" t="s">
        <v>365</v>
      </c>
      <c r="B27" s="141" t="s">
        <v>61</v>
      </c>
      <c r="C27" s="121">
        <f>SUM(C28:C32)</f>
        <v>0</v>
      </c>
      <c r="D27" s="121">
        <f t="shared" ref="D27:BO27" si="77">SUM(D28:D32)</f>
        <v>0</v>
      </c>
      <c r="E27" s="121">
        <f t="shared" si="77"/>
        <v>0</v>
      </c>
      <c r="F27" s="121">
        <f t="shared" si="77"/>
        <v>0</v>
      </c>
      <c r="G27" s="121">
        <f t="shared" si="77"/>
        <v>0</v>
      </c>
      <c r="H27" s="121">
        <f t="shared" si="77"/>
        <v>0</v>
      </c>
      <c r="I27" s="121">
        <f t="shared" si="77"/>
        <v>0</v>
      </c>
      <c r="J27" s="121">
        <f t="shared" si="77"/>
        <v>0</v>
      </c>
      <c r="K27" s="121">
        <f t="shared" si="77"/>
        <v>0</v>
      </c>
      <c r="L27" s="121">
        <f t="shared" si="77"/>
        <v>5090.7991679999996</v>
      </c>
      <c r="M27" s="121">
        <f t="shared" si="77"/>
        <v>5199.887721600001</v>
      </c>
      <c r="N27" s="121">
        <f t="shared" si="77"/>
        <v>4222.7827200000011</v>
      </c>
      <c r="O27" s="121">
        <f t="shared" si="77"/>
        <v>3869.6762832000004</v>
      </c>
      <c r="P27" s="121">
        <f t="shared" si="77"/>
        <v>2733.1274880000001</v>
      </c>
      <c r="Q27" s="121">
        <f t="shared" si="77"/>
        <v>7908.9201360000025</v>
      </c>
      <c r="R27" s="121">
        <f t="shared" si="77"/>
        <v>4171.1036989440017</v>
      </c>
      <c r="S27" s="121">
        <f t="shared" si="77"/>
        <v>3221.4462658560014</v>
      </c>
      <c r="T27" s="121">
        <f t="shared" si="77"/>
        <v>4692.4916613120031</v>
      </c>
      <c r="U27" s="121">
        <f t="shared" si="77"/>
        <v>3857.6142259200019</v>
      </c>
      <c r="V27" s="121">
        <f t="shared" si="77"/>
        <v>7563.4730496000047</v>
      </c>
      <c r="W27" s="121">
        <f t="shared" si="77"/>
        <v>8783.388057600001</v>
      </c>
      <c r="X27" s="121">
        <f t="shared" si="77"/>
        <v>10588.862269440002</v>
      </c>
      <c r="Y27" s="121">
        <f t="shared" si="77"/>
        <v>9832.5149644800022</v>
      </c>
      <c r="Z27" s="121">
        <f t="shared" si="77"/>
        <v>7319.4900480000006</v>
      </c>
      <c r="AA27" s="121">
        <f t="shared" si="77"/>
        <v>6191.4820531200003</v>
      </c>
      <c r="AB27" s="121">
        <f t="shared" si="77"/>
        <v>4060.6465536000001</v>
      </c>
      <c r="AC27" s="121">
        <f t="shared" si="77"/>
        <v>10967.035921920002</v>
      </c>
      <c r="AD27" s="121">
        <f t="shared" si="77"/>
        <v>5422.4348086272003</v>
      </c>
      <c r="AE27" s="121">
        <f t="shared" si="77"/>
        <v>3941.5342546943998</v>
      </c>
      <c r="AF27" s="121">
        <f t="shared" si="77"/>
        <v>5422.4348086272003</v>
      </c>
      <c r="AG27" s="121">
        <f t="shared" si="77"/>
        <v>4223.072415744</v>
      </c>
      <c r="AH27" s="121">
        <f t="shared" si="77"/>
        <v>7866.011971584001</v>
      </c>
      <c r="AI27" s="121">
        <f t="shared" si="77"/>
        <v>9134.7235799040027</v>
      </c>
      <c r="AJ27" s="121">
        <f t="shared" si="77"/>
        <v>11012.4167602176</v>
      </c>
      <c r="AK27" s="121">
        <f t="shared" si="77"/>
        <v>10225.815563059201</v>
      </c>
      <c r="AL27" s="121">
        <f t="shared" si="77"/>
        <v>7612.269649920001</v>
      </c>
      <c r="AM27" s="121">
        <f t="shared" si="77"/>
        <v>6439.1413352447998</v>
      </c>
      <c r="AN27" s="121">
        <f t="shared" si="77"/>
        <v>4223.072415744</v>
      </c>
      <c r="AO27" s="121">
        <f t="shared" si="77"/>
        <v>11405.717358796801</v>
      </c>
      <c r="AP27" s="121">
        <f t="shared" si="77"/>
        <v>5639.3322009722897</v>
      </c>
      <c r="AQ27" s="121">
        <f t="shared" si="77"/>
        <v>4099.1956248821771</v>
      </c>
      <c r="AR27" s="121">
        <f t="shared" si="77"/>
        <v>5639.3322009722897</v>
      </c>
      <c r="AS27" s="121">
        <f t="shared" si="77"/>
        <v>4391.9953123737596</v>
      </c>
      <c r="AT27" s="121">
        <f t="shared" si="77"/>
        <v>8180.6524504473618</v>
      </c>
      <c r="AU27" s="121">
        <f t="shared" si="77"/>
        <v>9500.1125231001624</v>
      </c>
      <c r="AV27" s="121">
        <f t="shared" si="77"/>
        <v>11452.913430626306</v>
      </c>
      <c r="AW27" s="121">
        <f t="shared" si="77"/>
        <v>10634.848185581572</v>
      </c>
      <c r="AX27" s="121">
        <f t="shared" si="77"/>
        <v>7916.7604359168008</v>
      </c>
      <c r="AY27" s="121">
        <f t="shared" si="77"/>
        <v>6696.7069886545933</v>
      </c>
      <c r="AZ27" s="121">
        <f t="shared" si="77"/>
        <v>4391.9953123737596</v>
      </c>
      <c r="BA27" s="121">
        <f t="shared" si="77"/>
        <v>11861.946053148673</v>
      </c>
      <c r="BB27" s="121">
        <f t="shared" si="77"/>
        <v>5864.905489011182</v>
      </c>
      <c r="BC27" s="121">
        <f t="shared" si="77"/>
        <v>4263.1634498774638</v>
      </c>
      <c r="BD27" s="121">
        <f t="shared" si="77"/>
        <v>5864.905489011182</v>
      </c>
      <c r="BE27" s="121">
        <f t="shared" si="77"/>
        <v>4567.6751248687106</v>
      </c>
      <c r="BF27" s="121">
        <f t="shared" si="77"/>
        <v>8507.8785484652562</v>
      </c>
      <c r="BG27" s="121">
        <f t="shared" si="77"/>
        <v>9880.1170240241681</v>
      </c>
      <c r="BH27" s="121">
        <f t="shared" si="77"/>
        <v>11911.029967851358</v>
      </c>
      <c r="BI27" s="121">
        <f t="shared" si="77"/>
        <v>11060.242113004835</v>
      </c>
      <c r="BJ27" s="121">
        <f t="shared" si="77"/>
        <v>8233.430853353475</v>
      </c>
      <c r="BK27" s="121">
        <f t="shared" si="77"/>
        <v>6964.575268200776</v>
      </c>
      <c r="BL27" s="121">
        <f t="shared" si="77"/>
        <v>4567.6751248687106</v>
      </c>
      <c r="BM27" s="121">
        <f t="shared" si="77"/>
        <v>12336.423895274622</v>
      </c>
      <c r="BN27" s="121">
        <f t="shared" si="77"/>
        <v>6099.501708571629</v>
      </c>
      <c r="BO27" s="121">
        <f t="shared" si="77"/>
        <v>4433.6899878725626</v>
      </c>
      <c r="BP27" s="121">
        <f t="shared" ref="BP27" si="78">SUM(BP28:BP32)</f>
        <v>6099.501708571629</v>
      </c>
      <c r="BQ27" s="121">
        <f t="shared" ref="BQ27:BY27" si="79">SUM(BQ28:BQ32)</f>
        <v>4750.3821298634593</v>
      </c>
      <c r="BR27" s="121">
        <f t="shared" si="79"/>
        <v>8848.1936904038648</v>
      </c>
      <c r="BS27" s="121">
        <f t="shared" si="79"/>
        <v>10275.321704985137</v>
      </c>
      <c r="BT27" s="121">
        <f t="shared" si="79"/>
        <v>12387.471166565414</v>
      </c>
      <c r="BU27" s="121">
        <f t="shared" si="79"/>
        <v>11502.65179752503</v>
      </c>
      <c r="BV27" s="121">
        <f t="shared" si="79"/>
        <v>8562.768087487615</v>
      </c>
      <c r="BW27" s="121">
        <f t="shared" si="79"/>
        <v>7243.1582789288077</v>
      </c>
      <c r="BX27" s="121">
        <f t="shared" si="79"/>
        <v>4750.3821298634593</v>
      </c>
      <c r="BY27" s="121">
        <f t="shared" si="79"/>
        <v>12829.880851085607</v>
      </c>
    </row>
    <row r="28" spans="1:77" s="16" customFormat="1" x14ac:dyDescent="0.25">
      <c r="A28" s="90" t="str">
        <f>A14</f>
        <v>Проживание</v>
      </c>
      <c r="B28" s="136" t="s">
        <v>61</v>
      </c>
      <c r="C28" s="128">
        <f t="shared" ref="C28:AH28" si="80">C14*C22/1000</f>
        <v>0</v>
      </c>
      <c r="D28" s="128">
        <f t="shared" si="80"/>
        <v>0</v>
      </c>
      <c r="E28" s="128">
        <f t="shared" si="80"/>
        <v>0</v>
      </c>
      <c r="F28" s="128">
        <f t="shared" si="80"/>
        <v>0</v>
      </c>
      <c r="G28" s="128">
        <f t="shared" si="80"/>
        <v>0</v>
      </c>
      <c r="H28" s="128">
        <f t="shared" si="80"/>
        <v>0</v>
      </c>
      <c r="I28" s="128">
        <f t="shared" si="80"/>
        <v>0</v>
      </c>
      <c r="J28" s="128">
        <f t="shared" si="80"/>
        <v>0</v>
      </c>
      <c r="K28" s="128">
        <f t="shared" si="80"/>
        <v>0</v>
      </c>
      <c r="L28" s="128">
        <f t="shared" si="80"/>
        <v>3520.6080000000002</v>
      </c>
      <c r="M28" s="128">
        <f t="shared" si="80"/>
        <v>3596.0496000000007</v>
      </c>
      <c r="N28" s="128">
        <f t="shared" si="80"/>
        <v>2920.3200000000011</v>
      </c>
      <c r="O28" s="128">
        <f t="shared" si="80"/>
        <v>2484.5433600000001</v>
      </c>
      <c r="P28" s="128">
        <f t="shared" si="80"/>
        <v>1669.4496000000001</v>
      </c>
      <c r="Q28" s="128">
        <f t="shared" si="80"/>
        <v>5469.5160000000014</v>
      </c>
      <c r="R28" s="128">
        <f t="shared" si="80"/>
        <v>2678.0762112000016</v>
      </c>
      <c r="S28" s="128">
        <f t="shared" si="80"/>
        <v>1967.7245952000007</v>
      </c>
      <c r="T28" s="128">
        <f t="shared" si="80"/>
        <v>3012.8357376000022</v>
      </c>
      <c r="U28" s="128">
        <f t="shared" si="80"/>
        <v>2356.308864000001</v>
      </c>
      <c r="V28" s="128">
        <f t="shared" si="80"/>
        <v>5230.6176000000032</v>
      </c>
      <c r="W28" s="128">
        <f t="shared" si="80"/>
        <v>6074.2656000000015</v>
      </c>
      <c r="X28" s="128">
        <f t="shared" si="80"/>
        <v>7322.8646400000007</v>
      </c>
      <c r="Y28" s="128">
        <f t="shared" si="80"/>
        <v>6799.802880000002</v>
      </c>
      <c r="Z28" s="128">
        <f t="shared" si="80"/>
        <v>5061.8880000000008</v>
      </c>
      <c r="AA28" s="128">
        <f t="shared" si="80"/>
        <v>3975.2693760000002</v>
      </c>
      <c r="AB28" s="128">
        <f t="shared" si="80"/>
        <v>2480.32512</v>
      </c>
      <c r="AC28" s="128">
        <f t="shared" si="80"/>
        <v>7584.3955200000019</v>
      </c>
      <c r="AD28" s="128">
        <f t="shared" si="80"/>
        <v>3481.4990745600007</v>
      </c>
      <c r="AE28" s="128">
        <f t="shared" si="80"/>
        <v>2407.5689164800001</v>
      </c>
      <c r="AF28" s="128">
        <f t="shared" si="80"/>
        <v>3481.4990745600007</v>
      </c>
      <c r="AG28" s="128">
        <f t="shared" si="80"/>
        <v>2579.5381247999999</v>
      </c>
      <c r="AH28" s="128">
        <f t="shared" si="80"/>
        <v>5439.8423040000007</v>
      </c>
      <c r="AI28" s="128">
        <f t="shared" ref="AI28:BN28" si="81">AI14*AI22/1000</f>
        <v>6317.2362240000011</v>
      </c>
      <c r="AJ28" s="128">
        <f t="shared" si="81"/>
        <v>7615.7792256000002</v>
      </c>
      <c r="AK28" s="128">
        <f t="shared" si="81"/>
        <v>7071.7949952000017</v>
      </c>
      <c r="AL28" s="128">
        <f t="shared" si="81"/>
        <v>5264.3635200000008</v>
      </c>
      <c r="AM28" s="128">
        <f t="shared" si="81"/>
        <v>4134.2801510399995</v>
      </c>
      <c r="AN28" s="128">
        <f t="shared" si="81"/>
        <v>2579.5381247999999</v>
      </c>
      <c r="AO28" s="128">
        <f t="shared" si="81"/>
        <v>7887.7713408000009</v>
      </c>
      <c r="AP28" s="128">
        <f t="shared" si="81"/>
        <v>3620.7590375424011</v>
      </c>
      <c r="AQ28" s="128">
        <f t="shared" si="81"/>
        <v>2503.8716731392005</v>
      </c>
      <c r="AR28" s="128">
        <f t="shared" si="81"/>
        <v>3620.7590375424011</v>
      </c>
      <c r="AS28" s="128">
        <f t="shared" si="81"/>
        <v>2682.7196497920004</v>
      </c>
      <c r="AT28" s="128">
        <f t="shared" si="81"/>
        <v>5657.4359961600012</v>
      </c>
      <c r="AU28" s="128">
        <f t="shared" si="81"/>
        <v>6569.9256729600011</v>
      </c>
      <c r="AV28" s="128">
        <f t="shared" si="81"/>
        <v>7920.4103946240011</v>
      </c>
      <c r="AW28" s="128">
        <f t="shared" si="81"/>
        <v>7354.6667950080018</v>
      </c>
      <c r="AX28" s="128">
        <f t="shared" si="81"/>
        <v>5474.938060800001</v>
      </c>
      <c r="AY28" s="128">
        <f t="shared" si="81"/>
        <v>4299.6513570816005</v>
      </c>
      <c r="AZ28" s="128">
        <f t="shared" si="81"/>
        <v>2682.7196497920004</v>
      </c>
      <c r="BA28" s="128">
        <f t="shared" si="81"/>
        <v>8203.2821944320021</v>
      </c>
      <c r="BB28" s="128">
        <f t="shared" si="81"/>
        <v>3765.5893990440973</v>
      </c>
      <c r="BC28" s="128">
        <f t="shared" si="81"/>
        <v>2604.0265400647686</v>
      </c>
      <c r="BD28" s="128">
        <f t="shared" si="81"/>
        <v>3765.5893990440973</v>
      </c>
      <c r="BE28" s="128">
        <f t="shared" si="81"/>
        <v>2790.0284357836804</v>
      </c>
      <c r="BF28" s="128">
        <f t="shared" si="81"/>
        <v>5883.7334360064015</v>
      </c>
      <c r="BG28" s="128">
        <f t="shared" si="81"/>
        <v>6832.7226998784017</v>
      </c>
      <c r="BH28" s="128">
        <f t="shared" si="81"/>
        <v>8237.2268104089617</v>
      </c>
      <c r="BI28" s="128">
        <f t="shared" si="81"/>
        <v>7648.853466808323</v>
      </c>
      <c r="BJ28" s="128">
        <f t="shared" si="81"/>
        <v>5693.9355832320016</v>
      </c>
      <c r="BK28" s="128">
        <f t="shared" si="81"/>
        <v>4471.6374113648644</v>
      </c>
      <c r="BL28" s="128">
        <f t="shared" si="81"/>
        <v>2790.0284357836804</v>
      </c>
      <c r="BM28" s="128">
        <f t="shared" si="81"/>
        <v>8531.4134822092819</v>
      </c>
      <c r="BN28" s="128">
        <f t="shared" si="81"/>
        <v>3916.2129750058612</v>
      </c>
      <c r="BO28" s="128">
        <f t="shared" ref="BO28:BY28" si="82">BO14*BO22/1000</f>
        <v>2708.1876016673596</v>
      </c>
      <c r="BP28" s="128">
        <f t="shared" si="82"/>
        <v>3916.2129750058612</v>
      </c>
      <c r="BQ28" s="128">
        <f t="shared" si="82"/>
        <v>2901.6295732150279</v>
      </c>
      <c r="BR28" s="128">
        <f t="shared" si="82"/>
        <v>6119.0827734466575</v>
      </c>
      <c r="BS28" s="128">
        <f t="shared" si="82"/>
        <v>7106.0316078735386</v>
      </c>
      <c r="BT28" s="128">
        <f t="shared" si="82"/>
        <v>8566.7158828253214</v>
      </c>
      <c r="BU28" s="128">
        <f t="shared" si="82"/>
        <v>7954.8076054806561</v>
      </c>
      <c r="BV28" s="128">
        <f t="shared" si="82"/>
        <v>5921.6930065612823</v>
      </c>
      <c r="BW28" s="128">
        <f t="shared" si="82"/>
        <v>4650.5029078194593</v>
      </c>
      <c r="BX28" s="128">
        <f t="shared" si="82"/>
        <v>2901.6295732150279</v>
      </c>
      <c r="BY28" s="128">
        <f t="shared" si="82"/>
        <v>8872.6700214976536</v>
      </c>
    </row>
    <row r="29" spans="1:77" x14ac:dyDescent="0.25">
      <c r="A29" s="90" t="str">
        <f>A15</f>
        <v>Питание</v>
      </c>
      <c r="B29" s="136" t="s">
        <v>61</v>
      </c>
      <c r="C29" s="128">
        <f t="shared" ref="C29:AH29" si="83">C15*C23/1000</f>
        <v>0</v>
      </c>
      <c r="D29" s="128">
        <f t="shared" si="83"/>
        <v>0</v>
      </c>
      <c r="E29" s="128">
        <f t="shared" si="83"/>
        <v>0</v>
      </c>
      <c r="F29" s="128">
        <f t="shared" si="83"/>
        <v>0</v>
      </c>
      <c r="G29" s="128">
        <f t="shared" si="83"/>
        <v>0</v>
      </c>
      <c r="H29" s="128">
        <f t="shared" si="83"/>
        <v>0</v>
      </c>
      <c r="I29" s="128">
        <f t="shared" si="83"/>
        <v>0</v>
      </c>
      <c r="J29" s="128">
        <f t="shared" si="83"/>
        <v>0</v>
      </c>
      <c r="K29" s="128">
        <f t="shared" si="83"/>
        <v>0</v>
      </c>
      <c r="L29" s="128">
        <f t="shared" si="83"/>
        <v>985.77023999999983</v>
      </c>
      <c r="M29" s="128">
        <f t="shared" si="83"/>
        <v>1006.8938880000002</v>
      </c>
      <c r="N29" s="128">
        <f t="shared" si="83"/>
        <v>817.68959999999993</v>
      </c>
      <c r="O29" s="128">
        <f t="shared" si="83"/>
        <v>869.59017599999993</v>
      </c>
      <c r="P29" s="128">
        <f t="shared" si="83"/>
        <v>667.77984000000004</v>
      </c>
      <c r="Q29" s="128">
        <f t="shared" si="83"/>
        <v>1531.4644800000005</v>
      </c>
      <c r="R29" s="128">
        <f t="shared" si="83"/>
        <v>937.32667392000053</v>
      </c>
      <c r="S29" s="128">
        <f t="shared" si="83"/>
        <v>787.08983808000039</v>
      </c>
      <c r="T29" s="128">
        <f t="shared" si="83"/>
        <v>1054.4925081600006</v>
      </c>
      <c r="U29" s="128">
        <f t="shared" si="83"/>
        <v>942.52354560000038</v>
      </c>
      <c r="V29" s="128">
        <f t="shared" si="83"/>
        <v>1464.5729280000007</v>
      </c>
      <c r="W29" s="128">
        <f t="shared" si="83"/>
        <v>1700.7943680000003</v>
      </c>
      <c r="X29" s="128">
        <f t="shared" si="83"/>
        <v>2050.4020992000001</v>
      </c>
      <c r="Y29" s="128">
        <f t="shared" si="83"/>
        <v>1903.9448064000003</v>
      </c>
      <c r="Z29" s="128">
        <f t="shared" si="83"/>
        <v>1417.3286400000002</v>
      </c>
      <c r="AA29" s="128">
        <f t="shared" si="83"/>
        <v>1391.3442815999999</v>
      </c>
      <c r="AB29" s="128">
        <f t="shared" si="83"/>
        <v>992.13004799999999</v>
      </c>
      <c r="AC29" s="128">
        <f t="shared" si="83"/>
        <v>2123.6307456</v>
      </c>
      <c r="AD29" s="128">
        <f t="shared" si="83"/>
        <v>1218.5246760960003</v>
      </c>
      <c r="AE29" s="128">
        <f t="shared" si="83"/>
        <v>963.02756659199997</v>
      </c>
      <c r="AF29" s="128">
        <f t="shared" si="83"/>
        <v>1218.5246760960003</v>
      </c>
      <c r="AG29" s="128">
        <f t="shared" si="83"/>
        <v>1031.8152499199998</v>
      </c>
      <c r="AH29" s="128">
        <f t="shared" si="83"/>
        <v>1523.1558451199999</v>
      </c>
      <c r="AI29" s="128">
        <f t="shared" ref="AI29:BN29" si="84">AI15*AI23/1000</f>
        <v>1768.82614272</v>
      </c>
      <c r="AJ29" s="128">
        <f t="shared" si="84"/>
        <v>2132.4181831679998</v>
      </c>
      <c r="AK29" s="128">
        <f t="shared" si="84"/>
        <v>1980.1025986560001</v>
      </c>
      <c r="AL29" s="128">
        <f t="shared" si="84"/>
        <v>1474.0217855999999</v>
      </c>
      <c r="AM29" s="128">
        <f t="shared" si="84"/>
        <v>1446.9980528639996</v>
      </c>
      <c r="AN29" s="128">
        <f t="shared" si="84"/>
        <v>1031.8152499199998</v>
      </c>
      <c r="AO29" s="128">
        <f t="shared" si="84"/>
        <v>2208.5759754240003</v>
      </c>
      <c r="AP29" s="128">
        <f t="shared" si="84"/>
        <v>1267.2656631398404</v>
      </c>
      <c r="AQ29" s="128">
        <f t="shared" si="84"/>
        <v>1001.54866925568</v>
      </c>
      <c r="AR29" s="128">
        <f t="shared" si="84"/>
        <v>1267.2656631398404</v>
      </c>
      <c r="AS29" s="128">
        <f t="shared" si="84"/>
        <v>1073.0878599168</v>
      </c>
      <c r="AT29" s="128">
        <f t="shared" si="84"/>
        <v>1584.0820789248</v>
      </c>
      <c r="AU29" s="128">
        <f t="shared" si="84"/>
        <v>1839.5791884288003</v>
      </c>
      <c r="AV29" s="128">
        <f t="shared" si="84"/>
        <v>2217.7149104947202</v>
      </c>
      <c r="AW29" s="128">
        <f t="shared" si="84"/>
        <v>2059.3067026022404</v>
      </c>
      <c r="AX29" s="128">
        <f t="shared" si="84"/>
        <v>1532.982657024</v>
      </c>
      <c r="AY29" s="128">
        <f t="shared" si="84"/>
        <v>1504.8779749785599</v>
      </c>
      <c r="AZ29" s="128">
        <f t="shared" si="84"/>
        <v>1073.0878599168</v>
      </c>
      <c r="BA29" s="128">
        <f t="shared" si="84"/>
        <v>2296.9190144409604</v>
      </c>
      <c r="BB29" s="128">
        <f t="shared" si="84"/>
        <v>1317.956289665434</v>
      </c>
      <c r="BC29" s="128">
        <f t="shared" si="84"/>
        <v>1041.6106160259073</v>
      </c>
      <c r="BD29" s="128">
        <f t="shared" si="84"/>
        <v>1317.956289665434</v>
      </c>
      <c r="BE29" s="128">
        <f t="shared" si="84"/>
        <v>1116.0113743134721</v>
      </c>
      <c r="BF29" s="128">
        <f t="shared" si="84"/>
        <v>1647.4453620817924</v>
      </c>
      <c r="BG29" s="128">
        <f t="shared" si="84"/>
        <v>1913.1623559659527</v>
      </c>
      <c r="BH29" s="128">
        <f t="shared" si="84"/>
        <v>2306.4235069145088</v>
      </c>
      <c r="BI29" s="128">
        <f t="shared" si="84"/>
        <v>2141.6789707063303</v>
      </c>
      <c r="BJ29" s="128">
        <f t="shared" si="84"/>
        <v>1594.3019633049605</v>
      </c>
      <c r="BK29" s="128">
        <f t="shared" si="84"/>
        <v>1565.0730939777025</v>
      </c>
      <c r="BL29" s="128">
        <f t="shared" si="84"/>
        <v>1116.0113743134721</v>
      </c>
      <c r="BM29" s="128">
        <f t="shared" si="84"/>
        <v>2388.7957750185988</v>
      </c>
      <c r="BN29" s="128">
        <f t="shared" si="84"/>
        <v>1370.6745412520515</v>
      </c>
      <c r="BO29" s="128">
        <f t="shared" ref="BO29:BY29" si="85">BO15*BO23/1000</f>
        <v>1083.2750406669436</v>
      </c>
      <c r="BP29" s="128">
        <f t="shared" si="85"/>
        <v>1370.6745412520515</v>
      </c>
      <c r="BQ29" s="128">
        <f t="shared" si="85"/>
        <v>1160.651829286011</v>
      </c>
      <c r="BR29" s="128">
        <f t="shared" si="85"/>
        <v>1713.3431765650641</v>
      </c>
      <c r="BS29" s="128">
        <f t="shared" si="85"/>
        <v>1989.6888502045906</v>
      </c>
      <c r="BT29" s="128">
        <f t="shared" si="85"/>
        <v>2398.6804471910896</v>
      </c>
      <c r="BU29" s="128">
        <f t="shared" si="85"/>
        <v>2227.3461295345837</v>
      </c>
      <c r="BV29" s="128">
        <f t="shared" si="85"/>
        <v>1658.0740418371586</v>
      </c>
      <c r="BW29" s="128">
        <f t="shared" si="85"/>
        <v>1627.6760177368108</v>
      </c>
      <c r="BX29" s="128">
        <f t="shared" si="85"/>
        <v>1160.651829286011</v>
      </c>
      <c r="BY29" s="128">
        <f t="shared" si="85"/>
        <v>2484.3476060193429</v>
      </c>
    </row>
    <row r="30" spans="1:77" x14ac:dyDescent="0.25">
      <c r="A30" s="90" t="str">
        <f>A16</f>
        <v>Банный комплекс</v>
      </c>
      <c r="B30" s="136" t="s">
        <v>61</v>
      </c>
      <c r="C30" s="128">
        <f t="shared" ref="C30:AH30" si="86">C16*C24/1000</f>
        <v>0</v>
      </c>
      <c r="D30" s="128">
        <f t="shared" si="86"/>
        <v>0</v>
      </c>
      <c r="E30" s="128">
        <f t="shared" si="86"/>
        <v>0</v>
      </c>
      <c r="F30" s="128">
        <f t="shared" si="86"/>
        <v>0</v>
      </c>
      <c r="G30" s="128">
        <f t="shared" si="86"/>
        <v>0</v>
      </c>
      <c r="H30" s="128">
        <f t="shared" si="86"/>
        <v>0</v>
      </c>
      <c r="I30" s="128">
        <f t="shared" si="86"/>
        <v>0</v>
      </c>
      <c r="J30" s="128">
        <f t="shared" si="86"/>
        <v>0</v>
      </c>
      <c r="K30" s="128">
        <f t="shared" si="86"/>
        <v>0</v>
      </c>
      <c r="L30" s="128">
        <f t="shared" si="86"/>
        <v>352.06079999999997</v>
      </c>
      <c r="M30" s="128">
        <f t="shared" si="86"/>
        <v>359.60496000000006</v>
      </c>
      <c r="N30" s="128">
        <f t="shared" si="86"/>
        <v>292.03200000000004</v>
      </c>
      <c r="O30" s="128">
        <f t="shared" si="86"/>
        <v>310.56792000000002</v>
      </c>
      <c r="P30" s="128">
        <f t="shared" si="86"/>
        <v>238.49280000000002</v>
      </c>
      <c r="Q30" s="128">
        <f t="shared" si="86"/>
        <v>546.95160000000021</v>
      </c>
      <c r="R30" s="128">
        <f t="shared" si="86"/>
        <v>334.7595264000002</v>
      </c>
      <c r="S30" s="128">
        <f t="shared" si="86"/>
        <v>281.1035136000001</v>
      </c>
      <c r="T30" s="128">
        <f t="shared" si="86"/>
        <v>376.60446720000027</v>
      </c>
      <c r="U30" s="128">
        <f t="shared" si="86"/>
        <v>336.61555200000015</v>
      </c>
      <c r="V30" s="128">
        <f t="shared" si="86"/>
        <v>523.06176000000039</v>
      </c>
      <c r="W30" s="128">
        <f t="shared" si="86"/>
        <v>607.42656000000011</v>
      </c>
      <c r="X30" s="128">
        <f t="shared" si="86"/>
        <v>732.28646400000002</v>
      </c>
      <c r="Y30" s="128">
        <f t="shared" si="86"/>
        <v>679.9802880000002</v>
      </c>
      <c r="Z30" s="128">
        <f t="shared" si="86"/>
        <v>506.18880000000007</v>
      </c>
      <c r="AA30" s="128">
        <f t="shared" si="86"/>
        <v>496.90867200000002</v>
      </c>
      <c r="AB30" s="128">
        <f t="shared" si="86"/>
        <v>354.33216000000004</v>
      </c>
      <c r="AC30" s="128">
        <f t="shared" si="86"/>
        <v>758.43955200000016</v>
      </c>
      <c r="AD30" s="128">
        <f t="shared" si="86"/>
        <v>435.18738432000009</v>
      </c>
      <c r="AE30" s="128">
        <f t="shared" si="86"/>
        <v>343.93841664000001</v>
      </c>
      <c r="AF30" s="128">
        <f t="shared" si="86"/>
        <v>435.18738432000009</v>
      </c>
      <c r="AG30" s="128">
        <f t="shared" si="86"/>
        <v>368.50544639999998</v>
      </c>
      <c r="AH30" s="128">
        <f t="shared" si="86"/>
        <v>543.9842304</v>
      </c>
      <c r="AI30" s="128">
        <f t="shared" ref="AI30:BN30" si="87">AI16*AI24/1000</f>
        <v>631.72362239999995</v>
      </c>
      <c r="AJ30" s="128">
        <f t="shared" si="87"/>
        <v>761.57792255999993</v>
      </c>
      <c r="AK30" s="128">
        <f t="shared" si="87"/>
        <v>707.17949952000004</v>
      </c>
      <c r="AL30" s="128">
        <f t="shared" si="87"/>
        <v>526.43635200000006</v>
      </c>
      <c r="AM30" s="128">
        <f t="shared" si="87"/>
        <v>516.78501887999994</v>
      </c>
      <c r="AN30" s="128">
        <f t="shared" si="87"/>
        <v>368.50544639999998</v>
      </c>
      <c r="AO30" s="128">
        <f t="shared" si="87"/>
        <v>788.77713408000011</v>
      </c>
      <c r="AP30" s="128">
        <f t="shared" si="87"/>
        <v>452.59487969280013</v>
      </c>
      <c r="AQ30" s="128">
        <f t="shared" si="87"/>
        <v>357.69595330560003</v>
      </c>
      <c r="AR30" s="128">
        <f t="shared" si="87"/>
        <v>452.59487969280013</v>
      </c>
      <c r="AS30" s="128">
        <f t="shared" si="87"/>
        <v>383.245664256</v>
      </c>
      <c r="AT30" s="128">
        <f t="shared" si="87"/>
        <v>565.7435996160001</v>
      </c>
      <c r="AU30" s="128">
        <f t="shared" si="87"/>
        <v>656.99256729600006</v>
      </c>
      <c r="AV30" s="128">
        <f t="shared" si="87"/>
        <v>792.04103946240002</v>
      </c>
      <c r="AW30" s="128">
        <f t="shared" si="87"/>
        <v>735.46667950080018</v>
      </c>
      <c r="AX30" s="128">
        <f t="shared" si="87"/>
        <v>547.49380608000001</v>
      </c>
      <c r="AY30" s="128">
        <f t="shared" si="87"/>
        <v>537.45641963520006</v>
      </c>
      <c r="AZ30" s="128">
        <f t="shared" si="87"/>
        <v>383.245664256</v>
      </c>
      <c r="BA30" s="128">
        <f t="shared" si="87"/>
        <v>820.32821944320017</v>
      </c>
      <c r="BB30" s="128">
        <f t="shared" si="87"/>
        <v>470.69867488051216</v>
      </c>
      <c r="BC30" s="128">
        <f t="shared" si="87"/>
        <v>372.00379143782408</v>
      </c>
      <c r="BD30" s="128">
        <f t="shared" si="87"/>
        <v>470.69867488051216</v>
      </c>
      <c r="BE30" s="128">
        <f t="shared" si="87"/>
        <v>398.57549082624013</v>
      </c>
      <c r="BF30" s="128">
        <f t="shared" si="87"/>
        <v>588.37334360064017</v>
      </c>
      <c r="BG30" s="128">
        <f t="shared" si="87"/>
        <v>683.27226998784022</v>
      </c>
      <c r="BH30" s="128">
        <f t="shared" si="87"/>
        <v>823.72268104089619</v>
      </c>
      <c r="BI30" s="128">
        <f t="shared" si="87"/>
        <v>764.8853466808323</v>
      </c>
      <c r="BJ30" s="128">
        <f t="shared" si="87"/>
        <v>569.39355832320018</v>
      </c>
      <c r="BK30" s="128">
        <f t="shared" si="87"/>
        <v>558.95467642060805</v>
      </c>
      <c r="BL30" s="128">
        <f t="shared" si="87"/>
        <v>398.57549082624013</v>
      </c>
      <c r="BM30" s="128">
        <f t="shared" si="87"/>
        <v>853.14134822092831</v>
      </c>
      <c r="BN30" s="128">
        <f t="shared" si="87"/>
        <v>489.52662187573264</v>
      </c>
      <c r="BO30" s="128">
        <f t="shared" ref="BO30:BY30" si="88">BO16*BO24/1000</f>
        <v>386.88394309533709</v>
      </c>
      <c r="BP30" s="128">
        <f t="shared" si="88"/>
        <v>489.52662187573264</v>
      </c>
      <c r="BQ30" s="128">
        <f t="shared" si="88"/>
        <v>414.51851045928964</v>
      </c>
      <c r="BR30" s="128">
        <f t="shared" si="88"/>
        <v>611.90827734466586</v>
      </c>
      <c r="BS30" s="128">
        <f t="shared" si="88"/>
        <v>710.60316078735389</v>
      </c>
      <c r="BT30" s="128">
        <f t="shared" si="88"/>
        <v>856.67158828253207</v>
      </c>
      <c r="BU30" s="128">
        <f t="shared" si="88"/>
        <v>795.48076054806552</v>
      </c>
      <c r="BV30" s="128">
        <f t="shared" si="88"/>
        <v>592.16930065612826</v>
      </c>
      <c r="BW30" s="128">
        <f t="shared" si="88"/>
        <v>581.31286347743242</v>
      </c>
      <c r="BX30" s="128">
        <f t="shared" si="88"/>
        <v>414.51851045928964</v>
      </c>
      <c r="BY30" s="128">
        <f t="shared" si="88"/>
        <v>887.2670021497654</v>
      </c>
    </row>
    <row r="31" spans="1:77" x14ac:dyDescent="0.25">
      <c r="A31" s="90" t="str">
        <f>A17</f>
        <v>Прокат спортивного инвентаря</v>
      </c>
      <c r="B31" s="136" t="s">
        <v>61</v>
      </c>
      <c r="C31" s="128">
        <f t="shared" ref="C31:AH31" si="89">C17*C25/1000</f>
        <v>0</v>
      </c>
      <c r="D31" s="128">
        <f t="shared" si="89"/>
        <v>0</v>
      </c>
      <c r="E31" s="128">
        <f t="shared" si="89"/>
        <v>0</v>
      </c>
      <c r="F31" s="128">
        <f t="shared" si="89"/>
        <v>0</v>
      </c>
      <c r="G31" s="128">
        <f t="shared" si="89"/>
        <v>0</v>
      </c>
      <c r="H31" s="128">
        <f t="shared" si="89"/>
        <v>0</v>
      </c>
      <c r="I31" s="128">
        <f t="shared" si="89"/>
        <v>0</v>
      </c>
      <c r="J31" s="128">
        <f t="shared" si="89"/>
        <v>0</v>
      </c>
      <c r="K31" s="128">
        <f t="shared" si="89"/>
        <v>0</v>
      </c>
      <c r="L31" s="128">
        <f t="shared" si="89"/>
        <v>56.329727999999996</v>
      </c>
      <c r="M31" s="128">
        <f t="shared" si="89"/>
        <v>57.536793600000003</v>
      </c>
      <c r="N31" s="128">
        <f t="shared" si="89"/>
        <v>46.725120000000011</v>
      </c>
      <c r="O31" s="128">
        <f t="shared" si="89"/>
        <v>49.690867200000007</v>
      </c>
      <c r="P31" s="128">
        <f t="shared" si="89"/>
        <v>38.158848000000013</v>
      </c>
      <c r="Q31" s="128">
        <f t="shared" si="89"/>
        <v>87.512256000000022</v>
      </c>
      <c r="R31" s="128">
        <f t="shared" si="89"/>
        <v>53.561524224000038</v>
      </c>
      <c r="S31" s="128">
        <f t="shared" si="89"/>
        <v>44.976562176000023</v>
      </c>
      <c r="T31" s="128">
        <f t="shared" si="89"/>
        <v>60.256714752000043</v>
      </c>
      <c r="U31" s="128">
        <f t="shared" si="89"/>
        <v>53.858488320000028</v>
      </c>
      <c r="V31" s="128">
        <f t="shared" si="89"/>
        <v>83.689881600000049</v>
      </c>
      <c r="W31" s="128">
        <f t="shared" si="89"/>
        <v>97.188249600000006</v>
      </c>
      <c r="X31" s="128">
        <f t="shared" si="89"/>
        <v>117.16583424</v>
      </c>
      <c r="Y31" s="128">
        <f t="shared" si="89"/>
        <v>108.79684608000004</v>
      </c>
      <c r="Z31" s="128">
        <f t="shared" si="89"/>
        <v>80.99020800000001</v>
      </c>
      <c r="AA31" s="128">
        <f t="shared" si="89"/>
        <v>79.505387519999999</v>
      </c>
      <c r="AB31" s="128">
        <f t="shared" si="89"/>
        <v>56.693145600000001</v>
      </c>
      <c r="AC31" s="128">
        <f t="shared" si="89"/>
        <v>121.35032832000002</v>
      </c>
      <c r="AD31" s="128">
        <f t="shared" si="89"/>
        <v>69.629981491200013</v>
      </c>
      <c r="AE31" s="128">
        <f t="shared" si="89"/>
        <v>55.0301466624</v>
      </c>
      <c r="AF31" s="128">
        <f t="shared" si="89"/>
        <v>69.629981491200013</v>
      </c>
      <c r="AG31" s="128">
        <f t="shared" si="89"/>
        <v>58.960871423999997</v>
      </c>
      <c r="AH31" s="128">
        <f t="shared" si="89"/>
        <v>87.037476864000013</v>
      </c>
      <c r="AI31" s="128">
        <f t="shared" ref="AI31:BN31" si="90">AI17*AI25/1000</f>
        <v>101.075779584</v>
      </c>
      <c r="AJ31" s="128">
        <f t="shared" si="90"/>
        <v>121.85246760959998</v>
      </c>
      <c r="AK31" s="128">
        <f t="shared" si="90"/>
        <v>113.14871992320002</v>
      </c>
      <c r="AL31" s="128">
        <f t="shared" si="90"/>
        <v>84.229816320000012</v>
      </c>
      <c r="AM31" s="128">
        <f t="shared" si="90"/>
        <v>82.685603020800002</v>
      </c>
      <c r="AN31" s="128">
        <f t="shared" si="90"/>
        <v>58.960871423999997</v>
      </c>
      <c r="AO31" s="128">
        <f t="shared" si="90"/>
        <v>126.20434145279999</v>
      </c>
      <c r="AP31" s="128">
        <f t="shared" si="90"/>
        <v>72.415180750848037</v>
      </c>
      <c r="AQ31" s="128">
        <f t="shared" si="90"/>
        <v>57.231352528896018</v>
      </c>
      <c r="AR31" s="128">
        <f t="shared" si="90"/>
        <v>72.415180750848037</v>
      </c>
      <c r="AS31" s="128">
        <f t="shared" si="90"/>
        <v>61.319306280960006</v>
      </c>
      <c r="AT31" s="128">
        <f t="shared" si="90"/>
        <v>90.518975938560033</v>
      </c>
      <c r="AU31" s="128">
        <f t="shared" si="90"/>
        <v>105.11881076736003</v>
      </c>
      <c r="AV31" s="128">
        <f t="shared" si="90"/>
        <v>126.72656631398402</v>
      </c>
      <c r="AW31" s="128">
        <f t="shared" si="90"/>
        <v>117.67466872012804</v>
      </c>
      <c r="AX31" s="128">
        <f t="shared" si="90"/>
        <v>87.599008972800036</v>
      </c>
      <c r="AY31" s="128">
        <f t="shared" si="90"/>
        <v>85.993027141632012</v>
      </c>
      <c r="AZ31" s="128">
        <f t="shared" si="90"/>
        <v>61.319306280960006</v>
      </c>
      <c r="BA31" s="128">
        <f t="shared" si="90"/>
        <v>131.25251511091204</v>
      </c>
      <c r="BB31" s="128">
        <f t="shared" si="90"/>
        <v>75.311787980881959</v>
      </c>
      <c r="BC31" s="128">
        <f t="shared" si="90"/>
        <v>59.520606630051859</v>
      </c>
      <c r="BD31" s="128">
        <f t="shared" si="90"/>
        <v>75.311787980881959</v>
      </c>
      <c r="BE31" s="128">
        <f t="shared" si="90"/>
        <v>63.772078532198414</v>
      </c>
      <c r="BF31" s="128">
        <f t="shared" si="90"/>
        <v>94.139734976102432</v>
      </c>
      <c r="BG31" s="128">
        <f t="shared" si="90"/>
        <v>109.32356319805444</v>
      </c>
      <c r="BH31" s="128">
        <f t="shared" si="90"/>
        <v>131.79562896654338</v>
      </c>
      <c r="BI31" s="128">
        <f t="shared" si="90"/>
        <v>122.38165546893316</v>
      </c>
      <c r="BJ31" s="128">
        <f t="shared" si="90"/>
        <v>91.102969331712046</v>
      </c>
      <c r="BK31" s="128">
        <f t="shared" si="90"/>
        <v>89.432748227297296</v>
      </c>
      <c r="BL31" s="128">
        <f t="shared" si="90"/>
        <v>63.772078532198414</v>
      </c>
      <c r="BM31" s="128">
        <f t="shared" si="90"/>
        <v>136.5026157153485</v>
      </c>
      <c r="BN31" s="128">
        <f t="shared" si="90"/>
        <v>78.324259500117236</v>
      </c>
      <c r="BO31" s="128">
        <f t="shared" ref="BO31:BY31" si="91">BO17*BO25/1000</f>
        <v>61.901430895253931</v>
      </c>
      <c r="BP31" s="128">
        <f t="shared" si="91"/>
        <v>78.324259500117236</v>
      </c>
      <c r="BQ31" s="128">
        <f t="shared" si="91"/>
        <v>66.322961673486347</v>
      </c>
      <c r="BR31" s="128">
        <f t="shared" si="91"/>
        <v>97.905324375146535</v>
      </c>
      <c r="BS31" s="128">
        <f t="shared" si="91"/>
        <v>113.69650572597662</v>
      </c>
      <c r="BT31" s="128">
        <f t="shared" si="91"/>
        <v>137.0674541252051</v>
      </c>
      <c r="BU31" s="128">
        <f t="shared" si="91"/>
        <v>127.2769216876905</v>
      </c>
      <c r="BV31" s="128">
        <f t="shared" si="91"/>
        <v>94.74708810498052</v>
      </c>
      <c r="BW31" s="128">
        <f t="shared" si="91"/>
        <v>93.010058156389192</v>
      </c>
      <c r="BX31" s="128">
        <f t="shared" si="91"/>
        <v>66.322961673486347</v>
      </c>
      <c r="BY31" s="128">
        <f t="shared" si="91"/>
        <v>141.96272034396245</v>
      </c>
    </row>
    <row r="32" spans="1:77" x14ac:dyDescent="0.25">
      <c r="A32" s="90" t="str">
        <f>A18</f>
        <v>Барбекю-парк</v>
      </c>
      <c r="B32" s="136" t="s">
        <v>61</v>
      </c>
      <c r="C32" s="128">
        <f t="shared" ref="C32:AH32" si="92">C18*C26/1000</f>
        <v>0</v>
      </c>
      <c r="D32" s="128">
        <f t="shared" si="92"/>
        <v>0</v>
      </c>
      <c r="E32" s="128">
        <f t="shared" si="92"/>
        <v>0</v>
      </c>
      <c r="F32" s="128">
        <f t="shared" si="92"/>
        <v>0</v>
      </c>
      <c r="G32" s="128">
        <f t="shared" si="92"/>
        <v>0</v>
      </c>
      <c r="H32" s="128">
        <f t="shared" si="92"/>
        <v>0</v>
      </c>
      <c r="I32" s="128">
        <f t="shared" si="92"/>
        <v>0</v>
      </c>
      <c r="J32" s="128">
        <f t="shared" si="92"/>
        <v>0</v>
      </c>
      <c r="K32" s="128">
        <f t="shared" si="92"/>
        <v>0</v>
      </c>
      <c r="L32" s="128">
        <f t="shared" si="92"/>
        <v>176.03039999999999</v>
      </c>
      <c r="M32" s="128">
        <f t="shared" si="92"/>
        <v>179.80248000000003</v>
      </c>
      <c r="N32" s="128">
        <f t="shared" si="92"/>
        <v>146.01599999999999</v>
      </c>
      <c r="O32" s="128">
        <f t="shared" si="92"/>
        <v>155.28396000000004</v>
      </c>
      <c r="P32" s="128">
        <f t="shared" si="92"/>
        <v>119.24640000000002</v>
      </c>
      <c r="Q32" s="128">
        <f t="shared" si="92"/>
        <v>273.47580000000011</v>
      </c>
      <c r="R32" s="128">
        <f t="shared" si="92"/>
        <v>167.37976320000007</v>
      </c>
      <c r="S32" s="128">
        <f t="shared" si="92"/>
        <v>140.55175680000002</v>
      </c>
      <c r="T32" s="128">
        <f t="shared" si="92"/>
        <v>188.30223360000011</v>
      </c>
      <c r="U32" s="128">
        <f t="shared" si="92"/>
        <v>168.30777600000008</v>
      </c>
      <c r="V32" s="128">
        <f t="shared" si="92"/>
        <v>261.5308800000002</v>
      </c>
      <c r="W32" s="128">
        <f t="shared" si="92"/>
        <v>303.71328</v>
      </c>
      <c r="X32" s="128">
        <f t="shared" si="92"/>
        <v>366.14323200000001</v>
      </c>
      <c r="Y32" s="128">
        <f t="shared" si="92"/>
        <v>339.9901440000001</v>
      </c>
      <c r="Z32" s="128">
        <f t="shared" si="92"/>
        <v>253.09440000000004</v>
      </c>
      <c r="AA32" s="128">
        <f t="shared" si="92"/>
        <v>248.45433600000004</v>
      </c>
      <c r="AB32" s="128">
        <f t="shared" si="92"/>
        <v>177.16607999999999</v>
      </c>
      <c r="AC32" s="128">
        <f t="shared" si="92"/>
        <v>379.21977600000002</v>
      </c>
      <c r="AD32" s="128">
        <f t="shared" si="92"/>
        <v>217.59369216000002</v>
      </c>
      <c r="AE32" s="128">
        <f t="shared" si="92"/>
        <v>171.96920831999998</v>
      </c>
      <c r="AF32" s="128">
        <f t="shared" si="92"/>
        <v>217.59369216000002</v>
      </c>
      <c r="AG32" s="128">
        <f t="shared" si="92"/>
        <v>184.25272319999999</v>
      </c>
      <c r="AH32" s="128">
        <f t="shared" si="92"/>
        <v>271.99211520000006</v>
      </c>
      <c r="AI32" s="128">
        <f t="shared" ref="AI32:BN32" si="93">AI18*AI26/1000</f>
        <v>315.86181119999998</v>
      </c>
      <c r="AJ32" s="128">
        <f t="shared" si="93"/>
        <v>380.78896128000002</v>
      </c>
      <c r="AK32" s="128">
        <f t="shared" si="93"/>
        <v>353.58974976000002</v>
      </c>
      <c r="AL32" s="128">
        <f t="shared" si="93"/>
        <v>263.21817600000003</v>
      </c>
      <c r="AM32" s="128">
        <f t="shared" si="93"/>
        <v>258.39250944000003</v>
      </c>
      <c r="AN32" s="128">
        <f t="shared" si="93"/>
        <v>184.25272319999999</v>
      </c>
      <c r="AO32" s="128">
        <f t="shared" si="93"/>
        <v>394.38856704000005</v>
      </c>
      <c r="AP32" s="128">
        <f t="shared" si="93"/>
        <v>226.29743984640007</v>
      </c>
      <c r="AQ32" s="128">
        <f t="shared" si="93"/>
        <v>178.84797665280001</v>
      </c>
      <c r="AR32" s="128">
        <f t="shared" si="93"/>
        <v>226.29743984640007</v>
      </c>
      <c r="AS32" s="128">
        <f t="shared" si="93"/>
        <v>191.62283212800003</v>
      </c>
      <c r="AT32" s="128">
        <f t="shared" si="93"/>
        <v>282.87179980800011</v>
      </c>
      <c r="AU32" s="128">
        <f t="shared" si="93"/>
        <v>328.49628364800003</v>
      </c>
      <c r="AV32" s="128">
        <f t="shared" si="93"/>
        <v>396.02051973120012</v>
      </c>
      <c r="AW32" s="128">
        <f t="shared" si="93"/>
        <v>367.73333975040015</v>
      </c>
      <c r="AX32" s="128">
        <f t="shared" si="93"/>
        <v>273.74690304000006</v>
      </c>
      <c r="AY32" s="128">
        <f t="shared" si="93"/>
        <v>268.72820981760009</v>
      </c>
      <c r="AZ32" s="128">
        <f t="shared" si="93"/>
        <v>191.62283212800003</v>
      </c>
      <c r="BA32" s="128">
        <f t="shared" si="93"/>
        <v>410.16410972160014</v>
      </c>
      <c r="BB32" s="128">
        <f t="shared" si="93"/>
        <v>235.34933744025605</v>
      </c>
      <c r="BC32" s="128">
        <f t="shared" si="93"/>
        <v>186.00189571891201</v>
      </c>
      <c r="BD32" s="128">
        <f t="shared" si="93"/>
        <v>235.34933744025605</v>
      </c>
      <c r="BE32" s="128">
        <f t="shared" si="93"/>
        <v>199.28774541312004</v>
      </c>
      <c r="BF32" s="128">
        <f t="shared" si="93"/>
        <v>294.18667180032008</v>
      </c>
      <c r="BG32" s="128">
        <f t="shared" si="93"/>
        <v>341.63613499392005</v>
      </c>
      <c r="BH32" s="128">
        <f t="shared" si="93"/>
        <v>411.8613405204481</v>
      </c>
      <c r="BI32" s="128">
        <f t="shared" si="93"/>
        <v>382.44267334041615</v>
      </c>
      <c r="BJ32" s="128">
        <f t="shared" si="93"/>
        <v>284.69677916160003</v>
      </c>
      <c r="BK32" s="128">
        <f t="shared" si="93"/>
        <v>279.47733821030408</v>
      </c>
      <c r="BL32" s="128">
        <f t="shared" si="93"/>
        <v>199.28774541312004</v>
      </c>
      <c r="BM32" s="128">
        <f t="shared" si="93"/>
        <v>426.5706741104641</v>
      </c>
      <c r="BN32" s="128">
        <f t="shared" si="93"/>
        <v>244.76331093786632</v>
      </c>
      <c r="BO32" s="128">
        <f t="shared" ref="BO32:BY32" si="94">BO18*BO26/1000</f>
        <v>193.44197154766852</v>
      </c>
      <c r="BP32" s="128">
        <f t="shared" si="94"/>
        <v>244.76331093786632</v>
      </c>
      <c r="BQ32" s="128">
        <f t="shared" si="94"/>
        <v>207.25925522964482</v>
      </c>
      <c r="BR32" s="128">
        <f t="shared" si="94"/>
        <v>305.95413867233293</v>
      </c>
      <c r="BS32" s="128">
        <f t="shared" si="94"/>
        <v>355.30158039367689</v>
      </c>
      <c r="BT32" s="128">
        <f t="shared" si="94"/>
        <v>428.33579414126604</v>
      </c>
      <c r="BU32" s="128">
        <f t="shared" si="94"/>
        <v>397.74038027403282</v>
      </c>
      <c r="BV32" s="128">
        <f t="shared" si="94"/>
        <v>296.08465032806413</v>
      </c>
      <c r="BW32" s="128">
        <f t="shared" si="94"/>
        <v>290.65643173871626</v>
      </c>
      <c r="BX32" s="128">
        <f t="shared" si="94"/>
        <v>207.25925522964482</v>
      </c>
      <c r="BY32" s="128">
        <f t="shared" si="94"/>
        <v>443.6335010748827</v>
      </c>
    </row>
    <row r="33" spans="1:77" s="16" customFormat="1" x14ac:dyDescent="0.25">
      <c r="A33" s="120" t="s">
        <v>617</v>
      </c>
      <c r="B33" s="141" t="s">
        <v>61</v>
      </c>
      <c r="C33" s="121">
        <f>C27/C10</f>
        <v>0</v>
      </c>
      <c r="D33" s="121">
        <f t="shared" ref="D33:BO33" si="95">D27/D10</f>
        <v>0</v>
      </c>
      <c r="E33" s="121">
        <f t="shared" si="95"/>
        <v>0</v>
      </c>
      <c r="F33" s="121">
        <f t="shared" si="95"/>
        <v>0</v>
      </c>
      <c r="G33" s="121">
        <f t="shared" si="95"/>
        <v>0</v>
      </c>
      <c r="H33" s="121">
        <f t="shared" si="95"/>
        <v>0</v>
      </c>
      <c r="I33" s="121">
        <f t="shared" si="95"/>
        <v>0</v>
      </c>
      <c r="J33" s="121">
        <f t="shared" si="95"/>
        <v>0</v>
      </c>
      <c r="K33" s="121">
        <f t="shared" si="95"/>
        <v>0</v>
      </c>
      <c r="L33" s="121">
        <f t="shared" si="95"/>
        <v>164.21932799999999</v>
      </c>
      <c r="M33" s="121">
        <f t="shared" si="95"/>
        <v>167.73831360000003</v>
      </c>
      <c r="N33" s="121">
        <f t="shared" si="95"/>
        <v>140.75942400000002</v>
      </c>
      <c r="O33" s="121">
        <f t="shared" si="95"/>
        <v>124.82826720000001</v>
      </c>
      <c r="P33" s="121">
        <f t="shared" si="95"/>
        <v>91.104249600000003</v>
      </c>
      <c r="Q33" s="121">
        <f t="shared" si="95"/>
        <v>255.12645600000008</v>
      </c>
      <c r="R33" s="121">
        <f t="shared" si="95"/>
        <v>134.55173222400006</v>
      </c>
      <c r="S33" s="121">
        <f t="shared" si="95"/>
        <v>115.05165235200005</v>
      </c>
      <c r="T33" s="121">
        <f t="shared" si="95"/>
        <v>151.3706987520001</v>
      </c>
      <c r="U33" s="121">
        <f t="shared" si="95"/>
        <v>128.58714086400008</v>
      </c>
      <c r="V33" s="121">
        <f t="shared" si="95"/>
        <v>243.98300160000016</v>
      </c>
      <c r="W33" s="121">
        <f t="shared" si="95"/>
        <v>292.77960192000006</v>
      </c>
      <c r="X33" s="121">
        <f t="shared" si="95"/>
        <v>341.57620224000004</v>
      </c>
      <c r="Y33" s="121">
        <f t="shared" si="95"/>
        <v>317.17790208000008</v>
      </c>
      <c r="Z33" s="121">
        <f t="shared" si="95"/>
        <v>243.98300160000002</v>
      </c>
      <c r="AA33" s="121">
        <f t="shared" si="95"/>
        <v>199.72522752</v>
      </c>
      <c r="AB33" s="121">
        <f t="shared" si="95"/>
        <v>135.35488512000001</v>
      </c>
      <c r="AC33" s="121">
        <f t="shared" si="95"/>
        <v>353.77535232000008</v>
      </c>
      <c r="AD33" s="121">
        <f t="shared" si="95"/>
        <v>174.91725189120001</v>
      </c>
      <c r="AE33" s="121">
        <f t="shared" si="95"/>
        <v>140.76908052479999</v>
      </c>
      <c r="AF33" s="121">
        <f t="shared" si="95"/>
        <v>174.91725189120001</v>
      </c>
      <c r="AG33" s="121">
        <f t="shared" si="95"/>
        <v>140.76908052479999</v>
      </c>
      <c r="AH33" s="121">
        <f t="shared" si="95"/>
        <v>253.74232166400003</v>
      </c>
      <c r="AI33" s="121">
        <f t="shared" si="95"/>
        <v>304.49078599680007</v>
      </c>
      <c r="AJ33" s="121">
        <f t="shared" si="95"/>
        <v>355.2392503296</v>
      </c>
      <c r="AK33" s="121">
        <f t="shared" si="95"/>
        <v>329.86501816320003</v>
      </c>
      <c r="AL33" s="121">
        <f t="shared" si="95"/>
        <v>253.74232166400003</v>
      </c>
      <c r="AM33" s="121">
        <f t="shared" si="95"/>
        <v>207.71423662079999</v>
      </c>
      <c r="AN33" s="121">
        <f t="shared" si="95"/>
        <v>140.76908052479999</v>
      </c>
      <c r="AO33" s="121">
        <f t="shared" si="95"/>
        <v>367.92636641280001</v>
      </c>
      <c r="AP33" s="121">
        <f t="shared" si="95"/>
        <v>181.91394196684806</v>
      </c>
      <c r="AQ33" s="121">
        <f t="shared" si="95"/>
        <v>146.39984374579203</v>
      </c>
      <c r="AR33" s="121">
        <f t="shared" si="95"/>
        <v>181.91394196684806</v>
      </c>
      <c r="AS33" s="121">
        <f t="shared" si="95"/>
        <v>146.399843745792</v>
      </c>
      <c r="AT33" s="121">
        <f t="shared" si="95"/>
        <v>263.89201453056006</v>
      </c>
      <c r="AU33" s="121">
        <f t="shared" si="95"/>
        <v>316.6704174366721</v>
      </c>
      <c r="AV33" s="121">
        <f t="shared" si="95"/>
        <v>369.44882034278407</v>
      </c>
      <c r="AW33" s="121">
        <f t="shared" si="95"/>
        <v>343.05961888972814</v>
      </c>
      <c r="AX33" s="121">
        <f t="shared" si="95"/>
        <v>263.89201453056</v>
      </c>
      <c r="AY33" s="121">
        <f t="shared" si="95"/>
        <v>216.02280608563203</v>
      </c>
      <c r="AZ33" s="121">
        <f t="shared" si="95"/>
        <v>146.399843745792</v>
      </c>
      <c r="BA33" s="121">
        <f t="shared" si="95"/>
        <v>382.64342106931201</v>
      </c>
      <c r="BB33" s="121">
        <f t="shared" si="95"/>
        <v>189.19049964552201</v>
      </c>
      <c r="BC33" s="121">
        <f t="shared" si="95"/>
        <v>152.25583749562369</v>
      </c>
      <c r="BD33" s="121">
        <f t="shared" si="95"/>
        <v>189.19049964552201</v>
      </c>
      <c r="BE33" s="121">
        <f t="shared" si="95"/>
        <v>152.25583749562369</v>
      </c>
      <c r="BF33" s="121">
        <f t="shared" si="95"/>
        <v>274.44769511178248</v>
      </c>
      <c r="BG33" s="121">
        <f t="shared" si="95"/>
        <v>329.33723413413895</v>
      </c>
      <c r="BH33" s="121">
        <f t="shared" si="95"/>
        <v>384.22677315649543</v>
      </c>
      <c r="BI33" s="121">
        <f t="shared" si="95"/>
        <v>356.78200364531727</v>
      </c>
      <c r="BJ33" s="121">
        <f t="shared" si="95"/>
        <v>274.44769511178248</v>
      </c>
      <c r="BK33" s="121">
        <f t="shared" si="95"/>
        <v>224.6637183290573</v>
      </c>
      <c r="BL33" s="121">
        <f t="shared" si="95"/>
        <v>152.25583749562369</v>
      </c>
      <c r="BM33" s="121">
        <f t="shared" si="95"/>
        <v>397.94915791208456</v>
      </c>
      <c r="BN33" s="121">
        <f t="shared" si="95"/>
        <v>196.75811963134288</v>
      </c>
      <c r="BO33" s="121">
        <f t="shared" si="95"/>
        <v>158.34607099544866</v>
      </c>
      <c r="BP33" s="121">
        <f t="shared" ref="BP33:BY33" si="96">BP27/BP10</f>
        <v>196.75811963134288</v>
      </c>
      <c r="BQ33" s="121">
        <f t="shared" si="96"/>
        <v>158.34607099544866</v>
      </c>
      <c r="BR33" s="121">
        <f t="shared" si="96"/>
        <v>285.42560291625369</v>
      </c>
      <c r="BS33" s="121">
        <f t="shared" si="96"/>
        <v>342.51072349950459</v>
      </c>
      <c r="BT33" s="121">
        <f t="shared" si="96"/>
        <v>399.59584408275526</v>
      </c>
      <c r="BU33" s="121">
        <f t="shared" si="96"/>
        <v>371.05328379113001</v>
      </c>
      <c r="BV33" s="121">
        <f t="shared" si="96"/>
        <v>285.42560291625381</v>
      </c>
      <c r="BW33" s="121">
        <f t="shared" si="96"/>
        <v>233.6502670622196</v>
      </c>
      <c r="BX33" s="121">
        <f t="shared" si="96"/>
        <v>158.34607099544866</v>
      </c>
      <c r="BY33" s="121">
        <f t="shared" si="96"/>
        <v>413.86712422856795</v>
      </c>
    </row>
    <row r="34" spans="1:77" s="16" customFormat="1" x14ac:dyDescent="0.25">
      <c r="A34" s="18"/>
      <c r="B34" s="44"/>
    </row>
    <row r="35" spans="1:77" s="16" customFormat="1" x14ac:dyDescent="0.25">
      <c r="A35" s="82" t="s">
        <v>207</v>
      </c>
      <c r="B35" s="44"/>
      <c r="C35" s="45"/>
      <c r="D35" s="45"/>
      <c r="E35" s="45"/>
      <c r="F35" s="45"/>
      <c r="G35" s="45"/>
      <c r="H35" s="45"/>
      <c r="I35" s="45"/>
      <c r="J35" s="45"/>
      <c r="K35" s="45"/>
      <c r="L35" s="46"/>
      <c r="M35" s="45"/>
      <c r="N35" s="45"/>
      <c r="O35" s="45"/>
      <c r="P35" s="45"/>
      <c r="Q35" s="46"/>
      <c r="R35" s="45"/>
      <c r="S35" s="45"/>
      <c r="T35" s="45"/>
      <c r="U35" s="45"/>
      <c r="V35" s="46"/>
    </row>
    <row r="36" spans="1:77" s="16" customFormat="1" x14ac:dyDescent="0.25">
      <c r="A36" s="207"/>
      <c r="B36" s="206" t="s">
        <v>53</v>
      </c>
      <c r="C36" s="368">
        <f>'Книга допущений'!B12</f>
        <v>2020</v>
      </c>
      <c r="D36" s="368">
        <f>C36+1</f>
        <v>2021</v>
      </c>
      <c r="E36" s="368">
        <f t="shared" ref="E36:I36" si="97">D36+1</f>
        <v>2022</v>
      </c>
      <c r="F36" s="368">
        <f t="shared" si="97"/>
        <v>2023</v>
      </c>
      <c r="G36" s="368">
        <f t="shared" si="97"/>
        <v>2024</v>
      </c>
      <c r="H36" s="368">
        <f t="shared" si="97"/>
        <v>2025</v>
      </c>
      <c r="I36" s="368">
        <f t="shared" si="97"/>
        <v>2026</v>
      </c>
      <c r="J36" s="140" t="s">
        <v>44</v>
      </c>
      <c r="S36" s="45"/>
      <c r="T36" s="45"/>
      <c r="U36" s="45"/>
      <c r="V36" s="46"/>
    </row>
    <row r="37" spans="1:77" s="16" customFormat="1" x14ac:dyDescent="0.25">
      <c r="A37" s="144" t="s">
        <v>103</v>
      </c>
      <c r="B37" s="141"/>
      <c r="C37" s="145"/>
      <c r="D37" s="145"/>
      <c r="E37" s="145"/>
      <c r="F37" s="145"/>
      <c r="G37" s="145"/>
      <c r="H37" s="145"/>
      <c r="I37" s="145"/>
      <c r="J37" s="145"/>
      <c r="S37" s="45"/>
      <c r="T37" s="45"/>
      <c r="U37" s="45"/>
      <c r="V37" s="46"/>
    </row>
    <row r="38" spans="1:77" s="16" customFormat="1" x14ac:dyDescent="0.25">
      <c r="A38" s="90" t="str">
        <f t="shared" ref="A38:B42" si="98">A14</f>
        <v>Проживание</v>
      </c>
      <c r="B38" s="136" t="str">
        <f t="shared" si="98"/>
        <v>дом/сут.</v>
      </c>
      <c r="C38" s="133">
        <f t="shared" ref="C38:I42" si="99">SUMIF($C$8:$BY$8,C$36,$C14:$BY14)</f>
        <v>0</v>
      </c>
      <c r="D38" s="133">
        <f t="shared" si="99"/>
        <v>4037.9040000000005</v>
      </c>
      <c r="E38" s="133">
        <f t="shared" si="99"/>
        <v>11071.944000000003</v>
      </c>
      <c r="F38" s="133">
        <f t="shared" si="99"/>
        <v>11428.560000000001</v>
      </c>
      <c r="G38" s="133">
        <f t="shared" si="99"/>
        <v>11428.560000000001</v>
      </c>
      <c r="H38" s="133">
        <f t="shared" si="99"/>
        <v>11428.560000000001</v>
      </c>
      <c r="I38" s="133">
        <f t="shared" si="99"/>
        <v>11428.560000000001</v>
      </c>
      <c r="J38" s="133">
        <f>SUM(C38:I38)</f>
        <v>60824.088000000003</v>
      </c>
      <c r="S38" s="45"/>
      <c r="T38" s="45"/>
      <c r="U38" s="45"/>
      <c r="V38" s="46"/>
    </row>
    <row r="39" spans="1:77" s="16" customFormat="1" x14ac:dyDescent="0.25">
      <c r="A39" s="90" t="str">
        <f t="shared" si="98"/>
        <v>Питание</v>
      </c>
      <c r="B39" s="136" t="str">
        <f t="shared" si="98"/>
        <v>чел./дн.</v>
      </c>
      <c r="C39" s="133">
        <f t="shared" si="99"/>
        <v>0</v>
      </c>
      <c r="D39" s="133">
        <f t="shared" si="99"/>
        <v>5653.0656000000017</v>
      </c>
      <c r="E39" s="133">
        <f t="shared" si="99"/>
        <v>15500.721600000001</v>
      </c>
      <c r="F39" s="133">
        <f t="shared" si="99"/>
        <v>15999.983999999999</v>
      </c>
      <c r="G39" s="133">
        <f t="shared" si="99"/>
        <v>15999.983999999999</v>
      </c>
      <c r="H39" s="133">
        <f t="shared" si="99"/>
        <v>15999.983999999999</v>
      </c>
      <c r="I39" s="133">
        <f t="shared" si="99"/>
        <v>15999.983999999999</v>
      </c>
      <c r="J39" s="133">
        <f t="shared" ref="J39:J42" si="100">SUM(C39:I39)</f>
        <v>85153.723199999993</v>
      </c>
      <c r="S39" s="45"/>
      <c r="T39" s="45"/>
      <c r="U39" s="45"/>
      <c r="V39" s="46"/>
    </row>
    <row r="40" spans="1:77" s="16" customFormat="1" x14ac:dyDescent="0.25">
      <c r="A40" s="90" t="str">
        <f t="shared" si="98"/>
        <v>Банный комплекс</v>
      </c>
      <c r="B40" s="136" t="str">
        <f t="shared" si="98"/>
        <v>чел./сеанс</v>
      </c>
      <c r="C40" s="133">
        <f t="shared" si="99"/>
        <v>0</v>
      </c>
      <c r="D40" s="133">
        <f t="shared" si="99"/>
        <v>4037.9040000000005</v>
      </c>
      <c r="E40" s="133">
        <f t="shared" si="99"/>
        <v>11071.944000000003</v>
      </c>
      <c r="F40" s="133">
        <f t="shared" si="99"/>
        <v>11428.560000000001</v>
      </c>
      <c r="G40" s="133">
        <f t="shared" si="99"/>
        <v>11428.560000000001</v>
      </c>
      <c r="H40" s="133">
        <f t="shared" si="99"/>
        <v>11428.560000000001</v>
      </c>
      <c r="I40" s="133">
        <f t="shared" si="99"/>
        <v>11428.560000000001</v>
      </c>
      <c r="J40" s="133">
        <f t="shared" si="100"/>
        <v>60824.088000000003</v>
      </c>
      <c r="S40" s="45"/>
      <c r="T40" s="45"/>
      <c r="U40" s="45"/>
      <c r="V40" s="46"/>
    </row>
    <row r="41" spans="1:77" s="16" customFormat="1" x14ac:dyDescent="0.25">
      <c r="A41" s="90" t="str">
        <f t="shared" si="98"/>
        <v>Прокат спортивного инвентаря</v>
      </c>
      <c r="B41" s="136" t="str">
        <f t="shared" si="98"/>
        <v>чел./сеанс</v>
      </c>
      <c r="C41" s="133">
        <f t="shared" si="99"/>
        <v>0</v>
      </c>
      <c r="D41" s="133">
        <f t="shared" si="99"/>
        <v>807.58080000000018</v>
      </c>
      <c r="E41" s="133">
        <f t="shared" si="99"/>
        <v>2214.3888000000002</v>
      </c>
      <c r="F41" s="133">
        <f t="shared" si="99"/>
        <v>2285.712</v>
      </c>
      <c r="G41" s="133">
        <f t="shared" si="99"/>
        <v>2285.712</v>
      </c>
      <c r="H41" s="133">
        <f t="shared" si="99"/>
        <v>2285.712</v>
      </c>
      <c r="I41" s="133">
        <f t="shared" si="99"/>
        <v>2285.712</v>
      </c>
      <c r="J41" s="133">
        <f t="shared" si="100"/>
        <v>12164.817599999998</v>
      </c>
      <c r="S41" s="45"/>
      <c r="T41" s="45"/>
      <c r="U41" s="45"/>
      <c r="V41" s="46"/>
    </row>
    <row r="42" spans="1:77" s="16" customFormat="1" x14ac:dyDescent="0.25">
      <c r="A42" s="90" t="str">
        <f t="shared" si="98"/>
        <v>Барбекю-парк</v>
      </c>
      <c r="B42" s="136" t="str">
        <f t="shared" si="98"/>
        <v>домик/сутки</v>
      </c>
      <c r="C42" s="133">
        <f t="shared" si="99"/>
        <v>0</v>
      </c>
      <c r="D42" s="133">
        <f t="shared" si="99"/>
        <v>336.49200000000008</v>
      </c>
      <c r="E42" s="133">
        <f t="shared" si="99"/>
        <v>922.66200000000026</v>
      </c>
      <c r="F42" s="133">
        <f t="shared" si="99"/>
        <v>952.38000000000011</v>
      </c>
      <c r="G42" s="133">
        <f t="shared" si="99"/>
        <v>952.38000000000011</v>
      </c>
      <c r="H42" s="133">
        <f t="shared" si="99"/>
        <v>952.38000000000011</v>
      </c>
      <c r="I42" s="133">
        <f t="shared" si="99"/>
        <v>952.38000000000011</v>
      </c>
      <c r="J42" s="133">
        <f t="shared" si="100"/>
        <v>5068.6740000000009</v>
      </c>
      <c r="S42" s="45"/>
      <c r="T42" s="45"/>
      <c r="U42" s="45"/>
      <c r="V42" s="46"/>
    </row>
    <row r="43" spans="1:77" s="16" customFormat="1" x14ac:dyDescent="0.25">
      <c r="A43" s="437" t="s">
        <v>618</v>
      </c>
      <c r="B43" s="438" t="s">
        <v>611</v>
      </c>
      <c r="C43" s="439">
        <v>0</v>
      </c>
      <c r="D43" s="439">
        <f>D38*'Книга допущений'!$B$122/365</f>
        <v>22.125501369863017</v>
      </c>
      <c r="E43" s="439">
        <f>E38*'Книга допущений'!$B$122/365</f>
        <v>60.668186301369879</v>
      </c>
      <c r="F43" s="439">
        <f>F38*'Книга допущений'!$B$122/365</f>
        <v>62.622246575342473</v>
      </c>
      <c r="G43" s="439">
        <f>G38*'Книга допущений'!$B$122/365</f>
        <v>62.622246575342473</v>
      </c>
      <c r="H43" s="439">
        <f>H38*'Книга допущений'!$B$122/365</f>
        <v>62.622246575342473</v>
      </c>
      <c r="I43" s="439">
        <f>I38*'Книга допущений'!$B$122/365</f>
        <v>62.622246575342473</v>
      </c>
      <c r="J43" s="439">
        <f>J38*'Книга допущений'!$B$122/365/5.5</f>
        <v>60.5968498132005</v>
      </c>
      <c r="S43" s="45"/>
      <c r="T43" s="45"/>
      <c r="U43" s="45"/>
      <c r="V43" s="46"/>
    </row>
    <row r="44" spans="1:77" s="16" customFormat="1" x14ac:dyDescent="0.25">
      <c r="A44" s="437" t="s">
        <v>684</v>
      </c>
      <c r="B44" s="438" t="s">
        <v>611</v>
      </c>
      <c r="C44" s="439">
        <v>0</v>
      </c>
      <c r="D44" s="439">
        <f>D38*'Книга допущений'!$B$122</f>
        <v>8075.8080000000009</v>
      </c>
      <c r="E44" s="439">
        <f>E38*'Книга допущений'!$B$122</f>
        <v>22143.888000000006</v>
      </c>
      <c r="F44" s="439">
        <f>F38*'Книга допущений'!$B$122</f>
        <v>22857.120000000003</v>
      </c>
      <c r="G44" s="439">
        <f>G38*'Книга допущений'!$B$122</f>
        <v>22857.120000000003</v>
      </c>
      <c r="H44" s="439">
        <f>H38*'Книга допущений'!$B$122</f>
        <v>22857.120000000003</v>
      </c>
      <c r="I44" s="439">
        <f>I38*'Книга допущений'!$B$122</f>
        <v>22857.120000000003</v>
      </c>
      <c r="J44" s="439">
        <f>J38*'Книга допущений'!$B$122/5.5</f>
        <v>22117.850181818183</v>
      </c>
      <c r="K44" s="464">
        <f>H44/360000</f>
        <v>6.3492000000000007E-2</v>
      </c>
      <c r="S44" s="45"/>
      <c r="T44" s="45"/>
      <c r="U44" s="45"/>
      <c r="V44" s="46"/>
    </row>
    <row r="45" spans="1:77" s="16" customFormat="1" x14ac:dyDescent="0.25">
      <c r="A45" s="146" t="s">
        <v>364</v>
      </c>
      <c r="B45" s="127"/>
      <c r="C45" s="147"/>
      <c r="D45" s="147"/>
      <c r="E45" s="147"/>
      <c r="F45" s="147"/>
      <c r="G45" s="147"/>
      <c r="H45" s="147"/>
      <c r="I45" s="147"/>
      <c r="J45" s="147"/>
      <c r="S45" s="45"/>
      <c r="T45" s="45"/>
      <c r="U45" s="45"/>
      <c r="V45" s="46"/>
    </row>
    <row r="46" spans="1:77" s="16" customFormat="1" x14ac:dyDescent="0.25">
      <c r="A46" s="148" t="str">
        <f>A38</f>
        <v>Проживание</v>
      </c>
      <c r="B46" s="96" t="str">
        <f>B22</f>
        <v>руб./дом/сут.</v>
      </c>
      <c r="C46" s="149">
        <f>IF(C38=0,0,C52/C38*1000)</f>
        <v>0</v>
      </c>
      <c r="D46" s="149">
        <f t="shared" ref="D46:J46" si="101">IF(D38=0,0,D52/D38*1000)</f>
        <v>4868.9831556173704</v>
      </c>
      <c r="E46" s="149">
        <f t="shared" si="101"/>
        <v>4926.3592864992816</v>
      </c>
      <c r="F46" s="149">
        <f t="shared" si="101"/>
        <v>5097.8173169533156</v>
      </c>
      <c r="G46" s="149">
        <f t="shared" si="101"/>
        <v>5301.7300096314502</v>
      </c>
      <c r="H46" s="149">
        <f t="shared" si="101"/>
        <v>5513.7992100167075</v>
      </c>
      <c r="I46" s="149">
        <f t="shared" si="101"/>
        <v>5734.351178417377</v>
      </c>
      <c r="J46" s="149">
        <f t="shared" si="101"/>
        <v>5287.491904555246</v>
      </c>
      <c r="S46" s="45"/>
      <c r="T46" s="45"/>
      <c r="U46" s="45"/>
      <c r="V46" s="46"/>
    </row>
    <row r="47" spans="1:77" s="16" customFormat="1" x14ac:dyDescent="0.25">
      <c r="A47" s="148" t="str">
        <f>A39</f>
        <v>Питание</v>
      </c>
      <c r="B47" s="96" t="str">
        <f>B23</f>
        <v>руб./чел./дн.</v>
      </c>
      <c r="C47" s="149">
        <f>IF(C39=0,0,C53/C39*1000)</f>
        <v>0</v>
      </c>
      <c r="D47" s="149">
        <f t="shared" ref="D47:J50" si="102">IF(D39=0,0,D53/D39*1000)</f>
        <v>1039.9999999999998</v>
      </c>
      <c r="E47" s="149">
        <f t="shared" si="102"/>
        <v>1081.6000000000001</v>
      </c>
      <c r="F47" s="149">
        <f t="shared" si="102"/>
        <v>1124.864</v>
      </c>
      <c r="G47" s="149">
        <f t="shared" si="102"/>
        <v>1169.8585600000001</v>
      </c>
      <c r="H47" s="149">
        <f t="shared" si="102"/>
        <v>1216.6529024000004</v>
      </c>
      <c r="I47" s="149">
        <f t="shared" si="102"/>
        <v>1265.3190184960006</v>
      </c>
      <c r="J47" s="149">
        <f t="shared" si="102"/>
        <v>1163.4465323506176</v>
      </c>
      <c r="S47" s="45"/>
      <c r="T47" s="45"/>
      <c r="U47" s="45"/>
      <c r="V47" s="46"/>
    </row>
    <row r="48" spans="1:77" s="16" customFormat="1" x14ac:dyDescent="0.25">
      <c r="A48" s="148" t="str">
        <f>A40</f>
        <v>Банный комплекс</v>
      </c>
      <c r="B48" s="96" t="str">
        <f>B24</f>
        <v>руб./чел./сеанс</v>
      </c>
      <c r="C48" s="149">
        <f>IF(C40=0,0,C54/C40*1000)</f>
        <v>0</v>
      </c>
      <c r="D48" s="149">
        <f t="shared" si="102"/>
        <v>520</v>
      </c>
      <c r="E48" s="149">
        <f t="shared" si="102"/>
        <v>540.79999999999995</v>
      </c>
      <c r="F48" s="149">
        <f t="shared" si="102"/>
        <v>562.4319999999999</v>
      </c>
      <c r="G48" s="149">
        <f t="shared" si="102"/>
        <v>584.92928000000006</v>
      </c>
      <c r="H48" s="149">
        <f t="shared" si="102"/>
        <v>608.32645120000007</v>
      </c>
      <c r="I48" s="149">
        <f t="shared" si="102"/>
        <v>632.65950924799995</v>
      </c>
      <c r="J48" s="149">
        <f t="shared" si="102"/>
        <v>581.72326617530882</v>
      </c>
      <c r="S48" s="45"/>
      <c r="T48" s="45"/>
      <c r="U48" s="45"/>
      <c r="V48" s="46"/>
    </row>
    <row r="49" spans="1:22" s="16" customFormat="1" x14ac:dyDescent="0.25">
      <c r="A49" s="148" t="str">
        <f>A41</f>
        <v>Прокат спортивного инвентаря</v>
      </c>
      <c r="B49" s="96" t="str">
        <f>B25</f>
        <v>руб./чел./сеанс</v>
      </c>
      <c r="C49" s="149">
        <f>IF(C41=0,0,C55/C41*1000)</f>
        <v>0</v>
      </c>
      <c r="D49" s="149">
        <f t="shared" si="102"/>
        <v>415.99999999999994</v>
      </c>
      <c r="E49" s="149">
        <f t="shared" si="102"/>
        <v>432.6400000000001</v>
      </c>
      <c r="F49" s="149">
        <f t="shared" si="102"/>
        <v>449.94560000000007</v>
      </c>
      <c r="G49" s="149">
        <f t="shared" si="102"/>
        <v>467.94342400000016</v>
      </c>
      <c r="H49" s="149">
        <f t="shared" si="102"/>
        <v>486.66116096000025</v>
      </c>
      <c r="I49" s="149">
        <f t="shared" si="102"/>
        <v>506.12760739840013</v>
      </c>
      <c r="J49" s="149">
        <f t="shared" si="102"/>
        <v>465.37861294024702</v>
      </c>
      <c r="S49" s="45"/>
      <c r="T49" s="45"/>
      <c r="U49" s="45"/>
      <c r="V49" s="46"/>
    </row>
    <row r="50" spans="1:22" s="16" customFormat="1" x14ac:dyDescent="0.25">
      <c r="A50" s="148" t="str">
        <f>A42</f>
        <v>Барбекю-парк</v>
      </c>
      <c r="B50" s="96" t="str">
        <f>B26</f>
        <v>руб./домик/сутки</v>
      </c>
      <c r="C50" s="149">
        <f>IF(C42=0,0,C56/C42*1000)</f>
        <v>0</v>
      </c>
      <c r="D50" s="149">
        <f t="shared" si="102"/>
        <v>3119.9999999999995</v>
      </c>
      <c r="E50" s="149">
        <f t="shared" si="102"/>
        <v>3244.8</v>
      </c>
      <c r="F50" s="149">
        <f t="shared" si="102"/>
        <v>3374.5919999999992</v>
      </c>
      <c r="G50" s="149">
        <f t="shared" si="102"/>
        <v>3509.5756800000013</v>
      </c>
      <c r="H50" s="149">
        <f t="shared" si="102"/>
        <v>3649.9587071999995</v>
      </c>
      <c r="I50" s="149">
        <f t="shared" si="102"/>
        <v>3795.9570554880002</v>
      </c>
      <c r="J50" s="149">
        <f t="shared" si="102"/>
        <v>3490.3395970518523</v>
      </c>
      <c r="S50" s="45"/>
      <c r="T50" s="45"/>
      <c r="U50" s="45"/>
      <c r="V50" s="46"/>
    </row>
    <row r="51" spans="1:22" s="16" customFormat="1" x14ac:dyDescent="0.25">
      <c r="A51" s="120" t="s">
        <v>365</v>
      </c>
      <c r="B51" s="141" t="s">
        <v>61</v>
      </c>
      <c r="C51" s="121">
        <f t="shared" ref="C51:I51" si="103">SUM(C52:C56)</f>
        <v>0</v>
      </c>
      <c r="D51" s="121">
        <f t="shared" si="103"/>
        <v>29025.193516800005</v>
      </c>
      <c r="E51" s="121">
        <f t="shared" si="103"/>
        <v>81249.548769792018</v>
      </c>
      <c r="F51" s="121">
        <f t="shared" si="103"/>
        <v>86928.644922163192</v>
      </c>
      <c r="G51" s="121">
        <f t="shared" si="103"/>
        <v>90405.79071904975</v>
      </c>
      <c r="H51" s="121">
        <f t="shared" si="103"/>
        <v>94022.022347811726</v>
      </c>
      <c r="I51" s="121">
        <f t="shared" si="103"/>
        <v>97782.903241724227</v>
      </c>
      <c r="J51" s="121">
        <f>SUM(J52:J56)</f>
        <v>479414.1035173409</v>
      </c>
      <c r="S51" s="45"/>
      <c r="T51" s="45"/>
      <c r="U51" s="45"/>
      <c r="V51" s="46"/>
    </row>
    <row r="52" spans="1:22" s="16" customFormat="1" x14ac:dyDescent="0.25">
      <c r="A52" s="90" t="str">
        <f>A38</f>
        <v>Проживание</v>
      </c>
      <c r="B52" s="136" t="s">
        <v>61</v>
      </c>
      <c r="C52" s="133">
        <f t="shared" ref="C52:I56" si="104">SUMIF($C$8:$BY$8,C$36,$C28:$BY28)</f>
        <v>0</v>
      </c>
      <c r="D52" s="133">
        <f t="shared" si="104"/>
        <v>19660.486560000005</v>
      </c>
      <c r="E52" s="133">
        <f t="shared" si="104"/>
        <v>54544.374144000016</v>
      </c>
      <c r="F52" s="133">
        <f t="shared" si="104"/>
        <v>58260.711075840001</v>
      </c>
      <c r="G52" s="133">
        <f t="shared" si="104"/>
        <v>60591.139518873613</v>
      </c>
      <c r="H52" s="133">
        <f t="shared" si="104"/>
        <v>63014.785099628556</v>
      </c>
      <c r="I52" s="133">
        <f t="shared" si="104"/>
        <v>65535.376503613705</v>
      </c>
      <c r="J52" s="133">
        <f>SUM(C52:I52)</f>
        <v>321606.87290195591</v>
      </c>
      <c r="S52" s="45"/>
      <c r="T52" s="45"/>
      <c r="U52" s="45"/>
      <c r="V52" s="46"/>
    </row>
    <row r="53" spans="1:22" s="16" customFormat="1" x14ac:dyDescent="0.25">
      <c r="A53" s="90" t="str">
        <f>A39</f>
        <v>Питание</v>
      </c>
      <c r="B53" s="136" t="s">
        <v>61</v>
      </c>
      <c r="C53" s="133">
        <f t="shared" si="104"/>
        <v>0</v>
      </c>
      <c r="D53" s="133">
        <f t="shared" si="104"/>
        <v>5879.1882240000004</v>
      </c>
      <c r="E53" s="133">
        <f t="shared" si="104"/>
        <v>16765.580482560003</v>
      </c>
      <c r="F53" s="133">
        <f t="shared" si="104"/>
        <v>17997.806002175999</v>
      </c>
      <c r="G53" s="133">
        <f t="shared" si="104"/>
        <v>18717.718242263043</v>
      </c>
      <c r="H53" s="133">
        <f t="shared" si="104"/>
        <v>19466.426971953566</v>
      </c>
      <c r="I53" s="133">
        <f t="shared" si="104"/>
        <v>20245.084050831712</v>
      </c>
      <c r="J53" s="133">
        <f t="shared" ref="J53:J56" si="105">SUM(C53:I53)</f>
        <v>99071.803973784321</v>
      </c>
      <c r="S53" s="45"/>
      <c r="T53" s="45"/>
      <c r="U53" s="45"/>
      <c r="V53" s="46"/>
    </row>
    <row r="54" spans="1:22" s="16" customFormat="1" x14ac:dyDescent="0.25">
      <c r="A54" s="90" t="str">
        <f>A40</f>
        <v>Банный комплекс</v>
      </c>
      <c r="B54" s="136" t="s">
        <v>61</v>
      </c>
      <c r="C54" s="133">
        <f t="shared" si="104"/>
        <v>0</v>
      </c>
      <c r="D54" s="133">
        <f t="shared" si="104"/>
        <v>2099.7100800000003</v>
      </c>
      <c r="E54" s="133">
        <f t="shared" si="104"/>
        <v>5987.7073152000012</v>
      </c>
      <c r="F54" s="133">
        <f t="shared" si="104"/>
        <v>6427.7878579199996</v>
      </c>
      <c r="G54" s="133">
        <f t="shared" si="104"/>
        <v>6684.8993722368014</v>
      </c>
      <c r="H54" s="133">
        <f t="shared" si="104"/>
        <v>6952.2953471262736</v>
      </c>
      <c r="I54" s="133">
        <f t="shared" si="104"/>
        <v>7230.3871610113238</v>
      </c>
      <c r="J54" s="133">
        <f t="shared" si="105"/>
        <v>35382.787133494407</v>
      </c>
      <c r="S54" s="45"/>
      <c r="T54" s="45"/>
      <c r="U54" s="45"/>
      <c r="V54" s="46"/>
    </row>
    <row r="55" spans="1:22" s="16" customFormat="1" x14ac:dyDescent="0.25">
      <c r="A55" s="90" t="str">
        <f>A41</f>
        <v>Прокат спортивного инвентаря</v>
      </c>
      <c r="B55" s="136" t="s">
        <v>61</v>
      </c>
      <c r="C55" s="133">
        <f t="shared" si="104"/>
        <v>0</v>
      </c>
      <c r="D55" s="133">
        <f t="shared" si="104"/>
        <v>335.95361280000003</v>
      </c>
      <c r="E55" s="133">
        <f t="shared" si="104"/>
        <v>958.03317043200025</v>
      </c>
      <c r="F55" s="133">
        <f t="shared" si="104"/>
        <v>1028.4460572672001</v>
      </c>
      <c r="G55" s="133">
        <f t="shared" si="104"/>
        <v>1069.5838995578883</v>
      </c>
      <c r="H55" s="133">
        <f t="shared" si="104"/>
        <v>1112.367255540204</v>
      </c>
      <c r="I55" s="133">
        <f t="shared" si="104"/>
        <v>1156.861945761812</v>
      </c>
      <c r="J55" s="133">
        <f t="shared" si="105"/>
        <v>5661.2459413591041</v>
      </c>
      <c r="S55" s="45"/>
      <c r="T55" s="45"/>
      <c r="U55" s="45"/>
      <c r="V55" s="46"/>
    </row>
    <row r="56" spans="1:22" s="16" customFormat="1" x14ac:dyDescent="0.25">
      <c r="A56" s="90" t="str">
        <f>A42</f>
        <v>Барбекю-парк</v>
      </c>
      <c r="B56" s="136" t="s">
        <v>61</v>
      </c>
      <c r="C56" s="133">
        <f t="shared" si="104"/>
        <v>0</v>
      </c>
      <c r="D56" s="133">
        <f t="shared" si="104"/>
        <v>1049.8550400000001</v>
      </c>
      <c r="E56" s="133">
        <f t="shared" si="104"/>
        <v>2993.853657600001</v>
      </c>
      <c r="F56" s="133">
        <f t="shared" si="104"/>
        <v>3213.8939289599998</v>
      </c>
      <c r="G56" s="133">
        <f t="shared" si="104"/>
        <v>3342.4496861184016</v>
      </c>
      <c r="H56" s="133">
        <f t="shared" si="104"/>
        <v>3476.1476735631363</v>
      </c>
      <c r="I56" s="133">
        <f t="shared" si="104"/>
        <v>3615.1935805056619</v>
      </c>
      <c r="J56" s="133">
        <f t="shared" si="105"/>
        <v>17691.393566747203</v>
      </c>
      <c r="S56" s="45"/>
      <c r="T56" s="45"/>
      <c r="U56" s="45"/>
      <c r="V56" s="46"/>
    </row>
    <row r="57" spans="1:22" s="16" customFormat="1" x14ac:dyDescent="0.25">
      <c r="A57" s="120" t="s">
        <v>365</v>
      </c>
      <c r="B57" s="141" t="s">
        <v>82</v>
      </c>
      <c r="C57" s="126">
        <f>C51/1000</f>
        <v>0</v>
      </c>
      <c r="D57" s="126">
        <f t="shared" ref="D57:G57" si="106">D51/1000</f>
        <v>29.025193516800005</v>
      </c>
      <c r="E57" s="126">
        <f t="shared" si="106"/>
        <v>81.249548769792014</v>
      </c>
      <c r="F57" s="126">
        <f t="shared" si="106"/>
        <v>86.928644922163187</v>
      </c>
      <c r="G57" s="126">
        <f t="shared" si="106"/>
        <v>90.405790719049747</v>
      </c>
      <c r="H57" s="126">
        <f t="shared" ref="H57:I57" si="107">H51/1000</f>
        <v>94.022022347811728</v>
      </c>
      <c r="I57" s="126">
        <f t="shared" si="107"/>
        <v>97.782903241724227</v>
      </c>
      <c r="J57" s="126">
        <f>J51/1000</f>
        <v>479.41410351734089</v>
      </c>
      <c r="S57" s="45"/>
      <c r="T57" s="45"/>
      <c r="U57" s="45"/>
      <c r="V57" s="46"/>
    </row>
    <row r="58" spans="1:22" s="16" customFormat="1" x14ac:dyDescent="0.25">
      <c r="A58" s="120" t="s">
        <v>617</v>
      </c>
      <c r="B58" s="141" t="s">
        <v>61</v>
      </c>
      <c r="C58" s="126">
        <f>C57/91</f>
        <v>0</v>
      </c>
      <c r="D58" s="126">
        <f>D51/91</f>
        <v>318.95817051428577</v>
      </c>
      <c r="E58" s="126">
        <f>E51/365</f>
        <v>222.60150347888225</v>
      </c>
      <c r="F58" s="126">
        <f t="shared" ref="F58:I58" si="108">F51/365</f>
        <v>238.16067101962517</v>
      </c>
      <c r="G58" s="126">
        <f t="shared" si="108"/>
        <v>247.68709786041026</v>
      </c>
      <c r="H58" s="126">
        <f t="shared" si="108"/>
        <v>257.59458177482662</v>
      </c>
      <c r="I58" s="126">
        <f t="shared" si="108"/>
        <v>267.89836504581979</v>
      </c>
      <c r="J58" s="126">
        <f>J51/(365*5+91)</f>
        <v>250.21612918441593</v>
      </c>
      <c r="S58" s="45"/>
      <c r="T58" s="45"/>
      <c r="U58" s="45"/>
      <c r="V58" s="46"/>
    </row>
    <row r="59" spans="1:22" s="16" customFormat="1" x14ac:dyDescent="0.25">
      <c r="A59" s="434" t="s">
        <v>548</v>
      </c>
      <c r="B59" s="435" t="s">
        <v>61</v>
      </c>
      <c r="C59" s="436">
        <f>C52+C53</f>
        <v>0</v>
      </c>
      <c r="D59" s="436">
        <f t="shared" ref="D59:I59" si="109">D52+D53</f>
        <v>25539.674784000006</v>
      </c>
      <c r="E59" s="436">
        <f t="shared" si="109"/>
        <v>71309.954626560022</v>
      </c>
      <c r="F59" s="436">
        <f t="shared" si="109"/>
        <v>76258.517078015997</v>
      </c>
      <c r="G59" s="436">
        <f t="shared" si="109"/>
        <v>79308.857761136664</v>
      </c>
      <c r="H59" s="436">
        <f t="shared" si="109"/>
        <v>82481.212071582122</v>
      </c>
      <c r="I59" s="436">
        <f t="shared" si="109"/>
        <v>85780.460554445424</v>
      </c>
      <c r="J59" s="436">
        <f t="shared" ref="J59" si="110">J52+J53</f>
        <v>420678.67687574023</v>
      </c>
      <c r="S59" s="45"/>
      <c r="T59" s="45"/>
      <c r="U59" s="45"/>
      <c r="V59" s="46"/>
    </row>
    <row r="60" spans="1:22" s="16" customFormat="1" x14ac:dyDescent="0.25">
      <c r="A60" s="371" t="s">
        <v>547</v>
      </c>
      <c r="B60" s="372" t="s">
        <v>61</v>
      </c>
      <c r="C60" s="373">
        <f>C51-C59</f>
        <v>0</v>
      </c>
      <c r="D60" s="373">
        <f t="shared" ref="D60:J60" si="111">D51-D59</f>
        <v>3485.5187327999993</v>
      </c>
      <c r="E60" s="373">
        <f t="shared" si="111"/>
        <v>9939.594143231996</v>
      </c>
      <c r="F60" s="373">
        <f t="shared" si="111"/>
        <v>10670.127844147195</v>
      </c>
      <c r="G60" s="373">
        <f t="shared" si="111"/>
        <v>11096.932957913086</v>
      </c>
      <c r="H60" s="373">
        <f t="shared" si="111"/>
        <v>11540.810276229604</v>
      </c>
      <c r="I60" s="373">
        <f t="shared" si="111"/>
        <v>12002.442687278803</v>
      </c>
      <c r="J60" s="373">
        <f t="shared" si="111"/>
        <v>58735.426641600672</v>
      </c>
      <c r="S60" s="45"/>
      <c r="T60" s="45"/>
      <c r="U60" s="45"/>
      <c r="V60" s="46"/>
    </row>
    <row r="61" spans="1:22" x14ac:dyDescent="0.25">
      <c r="E61" s="16"/>
      <c r="F61" s="16"/>
    </row>
    <row r="104" spans="3:3" x14ac:dyDescent="0.25">
      <c r="C104" s="73"/>
    </row>
  </sheetData>
  <mergeCells count="2">
    <mergeCell ref="B8:B9"/>
    <mergeCell ref="A8:A9"/>
  </mergeCells>
  <phoneticPr fontId="6" type="noConversion"/>
  <pageMargins left="0.7" right="0.7" top="0.75" bottom="0.75" header="0.3" footer="0.3"/>
  <pageSetup paperSize="9" orientation="portrait" horizontalDpi="4294967293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X129"/>
  <sheetViews>
    <sheetView showGridLines="0" topLeftCell="A7" zoomScaleNormal="100" workbookViewId="0">
      <selection activeCell="D11" sqref="D11"/>
    </sheetView>
  </sheetViews>
  <sheetFormatPr defaultColWidth="10.6640625" defaultRowHeight="13.2" x14ac:dyDescent="0.25"/>
  <cols>
    <col min="1" max="1" width="49.33203125" style="13" customWidth="1"/>
    <col min="2" max="2" width="14.44140625" style="13" customWidth="1"/>
    <col min="3" max="3" width="15.44140625" style="13" customWidth="1"/>
    <col min="4" max="4" width="13.6640625" style="13" customWidth="1"/>
    <col min="5" max="21" width="12.33203125" style="13" customWidth="1"/>
    <col min="22" max="16384" width="10.6640625" style="13"/>
  </cols>
  <sheetData>
    <row r="1" spans="1:19" s="376" customFormat="1" ht="28.5" customHeight="1" x14ac:dyDescent="0.3">
      <c r="A1" s="394" t="s">
        <v>163</v>
      </c>
      <c r="B1" s="375"/>
    </row>
    <row r="2" spans="1:19" s="376" customFormat="1" ht="19.5" customHeight="1" x14ac:dyDescent="0.25">
      <c r="A2" s="393" t="str">
        <f>'Книга допущений'!$A$2</f>
        <v>Парк мобильных домов</v>
      </c>
      <c r="B2" s="377"/>
    </row>
    <row r="3" spans="1:19" s="376" customFormat="1" ht="15" customHeight="1" x14ac:dyDescent="0.25">
      <c r="A3" s="378"/>
      <c r="B3" s="379"/>
    </row>
    <row r="4" spans="1:19" s="12" customFormat="1" ht="21.75" customHeight="1" x14ac:dyDescent="0.25">
      <c r="A4" s="14"/>
      <c r="B4"/>
    </row>
    <row r="5" spans="1:19" x14ac:dyDescent="0.25">
      <c r="A5" s="16" t="s">
        <v>55</v>
      </c>
      <c r="B5" s="22"/>
      <c r="C5" s="18"/>
      <c r="D5" s="18"/>
      <c r="E5" s="18"/>
      <c r="F5" s="18"/>
      <c r="G5" s="16"/>
      <c r="I5" s="16"/>
      <c r="L5" s="18"/>
      <c r="M5" s="18"/>
      <c r="N5" s="18"/>
      <c r="O5" s="18"/>
      <c r="P5" s="7"/>
      <c r="Q5" s="18"/>
      <c r="R5" s="18"/>
      <c r="S5" s="18"/>
    </row>
    <row r="6" spans="1:19" x14ac:dyDescent="0.25">
      <c r="A6" s="16"/>
    </row>
    <row r="7" spans="1:19" x14ac:dyDescent="0.25">
      <c r="A7" s="16" t="s">
        <v>581</v>
      </c>
    </row>
    <row r="8" spans="1:19" ht="25.5" customHeight="1" x14ac:dyDescent="0.25">
      <c r="A8" s="89" t="s">
        <v>576</v>
      </c>
      <c r="B8" s="123" t="s">
        <v>580</v>
      </c>
      <c r="C8" s="123" t="str">
        <f>'Книга допущений'!C155</f>
        <v>Зарплата, руб./мес.</v>
      </c>
    </row>
    <row r="9" spans="1:19" ht="14.25" customHeight="1" x14ac:dyDescent="0.25">
      <c r="A9" s="125" t="str">
        <f>'Книга допущений'!A156</f>
        <v>Управление</v>
      </c>
      <c r="B9" s="127">
        <f>SUM(B10:B13)</f>
        <v>5</v>
      </c>
      <c r="C9" s="381">
        <f>SUMPRODUCT(B10:B13,C10:C13)</f>
        <v>325</v>
      </c>
    </row>
    <row r="10" spans="1:19" ht="14.25" customHeight="1" x14ac:dyDescent="0.25">
      <c r="A10" s="124" t="str">
        <f>'Книга допущений'!A157</f>
        <v>Генеральный директор</v>
      </c>
      <c r="B10" s="128">
        <f>'Книга допущений'!B157</f>
        <v>1</v>
      </c>
      <c r="C10" s="208">
        <v>100</v>
      </c>
    </row>
    <row r="11" spans="1:19" ht="14.25" customHeight="1" x14ac:dyDescent="0.25">
      <c r="A11" s="124" t="str">
        <f>'Книга допущений'!A158</f>
        <v>Инженер ПТО</v>
      </c>
      <c r="B11" s="128">
        <f>'Книга допущений'!B158</f>
        <v>1</v>
      </c>
      <c r="C11" s="208">
        <v>70</v>
      </c>
    </row>
    <row r="12" spans="1:19" ht="14.25" customHeight="1" x14ac:dyDescent="0.25">
      <c r="A12" s="124" t="str">
        <f>'Книга допущений'!A159</f>
        <v>Менеджер</v>
      </c>
      <c r="B12" s="128">
        <v>2</v>
      </c>
      <c r="C12" s="208">
        <v>70</v>
      </c>
    </row>
    <row r="13" spans="1:19" ht="14.25" customHeight="1" x14ac:dyDescent="0.25">
      <c r="A13" s="124" t="str">
        <f>'Книга допущений'!A160</f>
        <v>Бухгалтер</v>
      </c>
      <c r="B13" s="128">
        <f>'Книга допущений'!B160</f>
        <v>1</v>
      </c>
      <c r="C13" s="208">
        <f>'Книга допущений'!C160/1000</f>
        <v>15</v>
      </c>
    </row>
    <row r="14" spans="1:19" ht="14.25" customHeight="1" x14ac:dyDescent="0.25">
      <c r="A14" s="125" t="str">
        <f>'Книга допущений'!A161</f>
        <v>Служба размещения</v>
      </c>
      <c r="B14" s="127">
        <f>SUM(B15:B18)</f>
        <v>11</v>
      </c>
      <c r="C14" s="381">
        <f>SUMPRODUCT(B15:B18,C15:C18)</f>
        <v>235</v>
      </c>
    </row>
    <row r="15" spans="1:19" ht="14.25" customHeight="1" x14ac:dyDescent="0.25">
      <c r="A15" s="124" t="str">
        <f>'Книга допущений'!A162</f>
        <v xml:space="preserve">Администратор </v>
      </c>
      <c r="B15" s="128">
        <f>'Книга допущений'!B162</f>
        <v>4</v>
      </c>
      <c r="C15" s="208">
        <f>'Книга допущений'!C162/1000</f>
        <v>25</v>
      </c>
    </row>
    <row r="16" spans="1:19" ht="14.25" customHeight="1" x14ac:dyDescent="0.25">
      <c r="A16" s="124" t="str">
        <f>'Книга допущений'!A163</f>
        <v>Старшая горничная</v>
      </c>
      <c r="B16" s="128">
        <f>'Книга допущений'!B163</f>
        <v>1</v>
      </c>
      <c r="C16" s="208">
        <f>'Книга допущений'!C163/1000</f>
        <v>25</v>
      </c>
    </row>
    <row r="17" spans="1:76" ht="14.25" customHeight="1" x14ac:dyDescent="0.25">
      <c r="A17" s="124" t="str">
        <f>'Книга допущений'!A164</f>
        <v>Горничная</v>
      </c>
      <c r="B17" s="128">
        <f>'Книга допущений'!B164</f>
        <v>4</v>
      </c>
      <c r="C17" s="208">
        <f>'Книга допущений'!C164/1000</f>
        <v>15</v>
      </c>
    </row>
    <row r="18" spans="1:76" ht="14.25" customHeight="1" x14ac:dyDescent="0.25">
      <c r="A18" s="124" t="str">
        <f>'Книга допущений'!A165</f>
        <v>Хаус-менеджер</v>
      </c>
      <c r="B18" s="128">
        <f>'Книга допущений'!B165</f>
        <v>2</v>
      </c>
      <c r="C18" s="208">
        <f>'Книга допущений'!C165/1000</f>
        <v>25</v>
      </c>
    </row>
    <row r="19" spans="1:76" ht="14.25" customHeight="1" x14ac:dyDescent="0.25">
      <c r="A19" s="125" t="str">
        <f>'Книга допущений'!A166</f>
        <v>Ресторан</v>
      </c>
      <c r="B19" s="127">
        <f>SUM(B20:B23)</f>
        <v>10</v>
      </c>
      <c r="C19" s="381">
        <f>SUMPRODUCT(B20:B23,C20:C23)</f>
        <v>245</v>
      </c>
    </row>
    <row r="20" spans="1:76" ht="14.25" customHeight="1" x14ac:dyDescent="0.25">
      <c r="A20" s="124" t="str">
        <f>'Книга допущений'!A167</f>
        <v>Шеф-повар</v>
      </c>
      <c r="B20" s="128">
        <f>'Книга допущений'!B167</f>
        <v>1</v>
      </c>
      <c r="C20" s="208">
        <f>'Книга допущений'!C167/1000</f>
        <v>40</v>
      </c>
    </row>
    <row r="21" spans="1:76" ht="14.25" customHeight="1" x14ac:dyDescent="0.25">
      <c r="A21" s="124" t="str">
        <f>'Книга допущений'!A168</f>
        <v>Повар</v>
      </c>
      <c r="B21" s="128">
        <f>'Книга допущений'!B168</f>
        <v>3</v>
      </c>
      <c r="C21" s="208">
        <f>'Книга допущений'!C168/1000</f>
        <v>25</v>
      </c>
    </row>
    <row r="22" spans="1:76" ht="14.25" customHeight="1" x14ac:dyDescent="0.25">
      <c r="A22" s="124" t="str">
        <f>'Книга допущений'!A169</f>
        <v>Администратор ресторана</v>
      </c>
      <c r="B22" s="128">
        <f>'Книга допущений'!B169</f>
        <v>2</v>
      </c>
      <c r="C22" s="208">
        <f>'Книга допущений'!C169/1000</f>
        <v>25</v>
      </c>
    </row>
    <row r="23" spans="1:76" ht="14.25" customHeight="1" x14ac:dyDescent="0.25">
      <c r="A23" s="124" t="str">
        <f>'Книга допущений'!A170</f>
        <v>Официант/бариста</v>
      </c>
      <c r="B23" s="128">
        <f>'Книга допущений'!B170</f>
        <v>4</v>
      </c>
      <c r="C23" s="208">
        <f>'Книга допущений'!C170/1000</f>
        <v>20</v>
      </c>
    </row>
    <row r="24" spans="1:76" ht="14.25" customHeight="1" x14ac:dyDescent="0.25">
      <c r="A24" s="125" t="str">
        <f>'Книга допущений'!A171</f>
        <v>Хоз. служба</v>
      </c>
      <c r="B24" s="127">
        <f>SUM(B25:B27)</f>
        <v>6</v>
      </c>
      <c r="C24" s="381">
        <f>SUMPRODUCT(B25:B27,C25:C27)</f>
        <v>110</v>
      </c>
    </row>
    <row r="25" spans="1:76" ht="14.25" customHeight="1" x14ac:dyDescent="0.25">
      <c r="A25" s="124" t="str">
        <f>'Книга допущений'!A172</f>
        <v>Администратор доп. услуг</v>
      </c>
      <c r="B25" s="128">
        <f>'Книга допущений'!B172</f>
        <v>2</v>
      </c>
      <c r="C25" s="208">
        <f>'Книга допущений'!C172/1000</f>
        <v>25</v>
      </c>
    </row>
    <row r="26" spans="1:76" ht="14.25" customHeight="1" x14ac:dyDescent="0.25">
      <c r="A26" s="124" t="str">
        <f>'Книга допущений'!A173</f>
        <v>Подсобный рабочий</v>
      </c>
      <c r="B26" s="128">
        <f>'Книга допущений'!B173</f>
        <v>2</v>
      </c>
      <c r="C26" s="208">
        <f>'Книга допущений'!C173/1000</f>
        <v>15</v>
      </c>
    </row>
    <row r="27" spans="1:76" ht="14.25" customHeight="1" x14ac:dyDescent="0.25">
      <c r="A27" s="124" t="str">
        <f>'Книга допущений'!A174</f>
        <v>Уборщик территории</v>
      </c>
      <c r="B27" s="128">
        <f>'Книга допущений'!B174</f>
        <v>2</v>
      </c>
      <c r="C27" s="208">
        <f>'Книга допущений'!C174/1000</f>
        <v>15</v>
      </c>
    </row>
    <row r="28" spans="1:76" ht="12" customHeight="1" x14ac:dyDescent="0.25">
      <c r="A28" s="125" t="s">
        <v>114</v>
      </c>
      <c r="B28" s="121">
        <f>B24+B19+B14+B9</f>
        <v>32</v>
      </c>
      <c r="C28" s="126">
        <f>C24+C19+C14+C9</f>
        <v>915</v>
      </c>
    </row>
    <row r="29" spans="1:76" s="30" customFormat="1" ht="12" customHeight="1" x14ac:dyDescent="0.25">
      <c r="A29" s="251"/>
      <c r="B29" s="252"/>
      <c r="C29" s="253"/>
      <c r="D29" s="254"/>
      <c r="E29" s="254"/>
      <c r="F29" s="255"/>
    </row>
    <row r="30" spans="1:76" x14ac:dyDescent="0.25">
      <c r="A30" s="51" t="s">
        <v>56</v>
      </c>
      <c r="B30" s="52"/>
      <c r="C30" s="50"/>
      <c r="D30" s="50"/>
      <c r="E30" s="50"/>
    </row>
    <row r="31" spans="1:76" ht="12.75" customHeight="1" x14ac:dyDescent="0.25">
      <c r="A31" s="479" t="s">
        <v>575</v>
      </c>
      <c r="B31" s="368">
        <f>'План продаж'!C8</f>
        <v>2020</v>
      </c>
      <c r="C31" s="368">
        <f>'План продаж'!D8</f>
        <v>2020</v>
      </c>
      <c r="D31" s="368">
        <f>'План продаж'!E8</f>
        <v>2020</v>
      </c>
      <c r="E31" s="368">
        <f>'План продаж'!F8</f>
        <v>2021</v>
      </c>
      <c r="F31" s="368">
        <f>'План продаж'!G8</f>
        <v>2021</v>
      </c>
      <c r="G31" s="368">
        <f>'План продаж'!H8</f>
        <v>2021</v>
      </c>
      <c r="H31" s="368">
        <f>'План продаж'!I8</f>
        <v>2021</v>
      </c>
      <c r="I31" s="368">
        <f>'План продаж'!J8</f>
        <v>2021</v>
      </c>
      <c r="J31" s="368">
        <f>'План продаж'!K8</f>
        <v>2021</v>
      </c>
      <c r="K31" s="368">
        <f>'План продаж'!L8</f>
        <v>2021</v>
      </c>
      <c r="L31" s="368">
        <f>'План продаж'!M8</f>
        <v>2021</v>
      </c>
      <c r="M31" s="368">
        <f>'План продаж'!N8</f>
        <v>2021</v>
      </c>
      <c r="N31" s="368">
        <f>'План продаж'!O8</f>
        <v>2021</v>
      </c>
      <c r="O31" s="368">
        <f>'План продаж'!P8</f>
        <v>2021</v>
      </c>
      <c r="P31" s="368">
        <f>'План продаж'!Q8</f>
        <v>2021</v>
      </c>
      <c r="Q31" s="368">
        <f>'План продаж'!R8</f>
        <v>2022</v>
      </c>
      <c r="R31" s="368">
        <f>'План продаж'!S8</f>
        <v>2022</v>
      </c>
      <c r="S31" s="368">
        <f>'План продаж'!T8</f>
        <v>2022</v>
      </c>
      <c r="T31" s="368">
        <f>'План продаж'!U8</f>
        <v>2022</v>
      </c>
      <c r="U31" s="368">
        <f>'План продаж'!V8</f>
        <v>2022</v>
      </c>
      <c r="V31" s="368">
        <f>'План продаж'!W8</f>
        <v>2022</v>
      </c>
      <c r="W31" s="368">
        <f>'План продаж'!X8</f>
        <v>2022</v>
      </c>
      <c r="X31" s="368">
        <f>'План продаж'!Y8</f>
        <v>2022</v>
      </c>
      <c r="Y31" s="368">
        <f>'План продаж'!Z8</f>
        <v>2022</v>
      </c>
      <c r="Z31" s="368">
        <f>'План продаж'!AA8</f>
        <v>2022</v>
      </c>
      <c r="AA31" s="368">
        <f>'План продаж'!AB8</f>
        <v>2022</v>
      </c>
      <c r="AB31" s="368">
        <f>'План продаж'!AC8</f>
        <v>2022</v>
      </c>
      <c r="AC31" s="368">
        <f>'План продаж'!AD8</f>
        <v>2023</v>
      </c>
      <c r="AD31" s="368">
        <f>'План продаж'!AE8</f>
        <v>2023</v>
      </c>
      <c r="AE31" s="368">
        <f>'План продаж'!AF8</f>
        <v>2023</v>
      </c>
      <c r="AF31" s="368">
        <f>'План продаж'!AG8</f>
        <v>2023</v>
      </c>
      <c r="AG31" s="368">
        <f>'План продаж'!AH8</f>
        <v>2023</v>
      </c>
      <c r="AH31" s="368">
        <f>'План продаж'!AI8</f>
        <v>2023</v>
      </c>
      <c r="AI31" s="368">
        <f>'План продаж'!AJ8</f>
        <v>2023</v>
      </c>
      <c r="AJ31" s="368">
        <f>'План продаж'!AK8</f>
        <v>2023</v>
      </c>
      <c r="AK31" s="368">
        <f>'План продаж'!AL8</f>
        <v>2023</v>
      </c>
      <c r="AL31" s="368">
        <f>'План продаж'!AM8</f>
        <v>2023</v>
      </c>
      <c r="AM31" s="368">
        <f>'План продаж'!AN8</f>
        <v>2023</v>
      </c>
      <c r="AN31" s="368">
        <f>'План продаж'!AO8</f>
        <v>2023</v>
      </c>
      <c r="AO31" s="368">
        <f>'План продаж'!AP8</f>
        <v>2024</v>
      </c>
      <c r="AP31" s="368">
        <f>'План продаж'!AQ8</f>
        <v>2024</v>
      </c>
      <c r="AQ31" s="368">
        <f>'План продаж'!AR8</f>
        <v>2024</v>
      </c>
      <c r="AR31" s="368">
        <f>'План продаж'!AS8</f>
        <v>2024</v>
      </c>
      <c r="AS31" s="368">
        <f>'План продаж'!AT8</f>
        <v>2024</v>
      </c>
      <c r="AT31" s="368">
        <f>'План продаж'!AU8</f>
        <v>2024</v>
      </c>
      <c r="AU31" s="368">
        <f>'План продаж'!AV8</f>
        <v>2024</v>
      </c>
      <c r="AV31" s="368">
        <f>'План продаж'!AW8</f>
        <v>2024</v>
      </c>
      <c r="AW31" s="368">
        <f>'План продаж'!AX8</f>
        <v>2024</v>
      </c>
      <c r="AX31" s="368">
        <f>'План продаж'!AY8</f>
        <v>2024</v>
      </c>
      <c r="AY31" s="368">
        <f>'План продаж'!AZ8</f>
        <v>2024</v>
      </c>
      <c r="AZ31" s="368">
        <f>'План продаж'!BA8</f>
        <v>2024</v>
      </c>
      <c r="BA31" s="368">
        <f>'План продаж'!BB8</f>
        <v>2025</v>
      </c>
      <c r="BB31" s="368">
        <f>'План продаж'!BC8</f>
        <v>2025</v>
      </c>
      <c r="BC31" s="368">
        <f>'План продаж'!BD8</f>
        <v>2025</v>
      </c>
      <c r="BD31" s="368">
        <f>'План продаж'!BE8</f>
        <v>2025</v>
      </c>
      <c r="BE31" s="368">
        <f>'План продаж'!BF8</f>
        <v>2025</v>
      </c>
      <c r="BF31" s="368">
        <f>'План продаж'!BG8</f>
        <v>2025</v>
      </c>
      <c r="BG31" s="368">
        <f>'План продаж'!BH8</f>
        <v>2025</v>
      </c>
      <c r="BH31" s="368">
        <f>'План продаж'!BI8</f>
        <v>2025</v>
      </c>
      <c r="BI31" s="368">
        <f>'План продаж'!BJ8</f>
        <v>2025</v>
      </c>
      <c r="BJ31" s="368">
        <f>'План продаж'!BK8</f>
        <v>2025</v>
      </c>
      <c r="BK31" s="368">
        <f>'План продаж'!BL8</f>
        <v>2025</v>
      </c>
      <c r="BL31" s="368">
        <f>'План продаж'!BM8</f>
        <v>2025</v>
      </c>
      <c r="BM31" s="368">
        <f>'План продаж'!BN8</f>
        <v>2026</v>
      </c>
      <c r="BN31" s="368">
        <f>'План продаж'!BO8</f>
        <v>2026</v>
      </c>
      <c r="BO31" s="368">
        <f>'План продаж'!BP8</f>
        <v>2026</v>
      </c>
      <c r="BP31" s="368">
        <f>'План продаж'!BQ8</f>
        <v>2026</v>
      </c>
      <c r="BQ31" s="368">
        <f>'План продаж'!BR8</f>
        <v>2026</v>
      </c>
      <c r="BR31" s="368">
        <f>'План продаж'!BS8</f>
        <v>2026</v>
      </c>
      <c r="BS31" s="368">
        <f>'План продаж'!BT8</f>
        <v>2026</v>
      </c>
      <c r="BT31" s="368">
        <f>'План продаж'!BU8</f>
        <v>2026</v>
      </c>
      <c r="BU31" s="368">
        <f>'План продаж'!BV8</f>
        <v>2026</v>
      </c>
      <c r="BV31" s="368">
        <f>'План продаж'!BW8</f>
        <v>2026</v>
      </c>
      <c r="BW31" s="368">
        <f>'План продаж'!BX8</f>
        <v>2026</v>
      </c>
      <c r="BX31" s="368">
        <f>'План продаж'!BY8</f>
        <v>2026</v>
      </c>
    </row>
    <row r="32" spans="1:76" ht="12.75" customHeight="1" x14ac:dyDescent="0.25">
      <c r="A32" s="494"/>
      <c r="B32" s="367">
        <f>'План продаж'!C9</f>
        <v>44106</v>
      </c>
      <c r="C32" s="367">
        <f>'План продаж'!D9</f>
        <v>44137</v>
      </c>
      <c r="D32" s="367">
        <f>'План продаж'!E9</f>
        <v>44167</v>
      </c>
      <c r="E32" s="367">
        <f>'План продаж'!F9</f>
        <v>44198</v>
      </c>
      <c r="F32" s="367">
        <f>'План продаж'!G9</f>
        <v>44229</v>
      </c>
      <c r="G32" s="367">
        <f>'План продаж'!H9</f>
        <v>44257</v>
      </c>
      <c r="H32" s="367">
        <f>'План продаж'!I9</f>
        <v>44288</v>
      </c>
      <c r="I32" s="367">
        <f>'План продаж'!J9</f>
        <v>44318</v>
      </c>
      <c r="J32" s="367">
        <f>'План продаж'!K9</f>
        <v>44349</v>
      </c>
      <c r="K32" s="367">
        <f>'План продаж'!L9</f>
        <v>44379</v>
      </c>
      <c r="L32" s="367">
        <f>'План продаж'!M9</f>
        <v>44410</v>
      </c>
      <c r="M32" s="367">
        <f>'План продаж'!N9</f>
        <v>44441</v>
      </c>
      <c r="N32" s="367">
        <f>'План продаж'!O9</f>
        <v>44471</v>
      </c>
      <c r="O32" s="367">
        <f>'План продаж'!P9</f>
        <v>44502</v>
      </c>
      <c r="P32" s="367">
        <f>'План продаж'!Q9</f>
        <v>44532</v>
      </c>
      <c r="Q32" s="367">
        <f>'План продаж'!R9</f>
        <v>44563</v>
      </c>
      <c r="R32" s="367">
        <f>'План продаж'!S9</f>
        <v>44594</v>
      </c>
      <c r="S32" s="367">
        <f>'План продаж'!T9</f>
        <v>44622</v>
      </c>
      <c r="T32" s="367">
        <f>'План продаж'!U9</f>
        <v>44653</v>
      </c>
      <c r="U32" s="367">
        <f>'План продаж'!V9</f>
        <v>44683</v>
      </c>
      <c r="V32" s="367">
        <f>'План продаж'!W9</f>
        <v>44714</v>
      </c>
      <c r="W32" s="367">
        <f>'План продаж'!X9</f>
        <v>44744</v>
      </c>
      <c r="X32" s="367">
        <f>'План продаж'!Y9</f>
        <v>44775</v>
      </c>
      <c r="Y32" s="367">
        <f>'План продаж'!Z9</f>
        <v>44806</v>
      </c>
      <c r="Z32" s="367">
        <f>'План продаж'!AA9</f>
        <v>44836</v>
      </c>
      <c r="AA32" s="367">
        <f>'План продаж'!AB9</f>
        <v>44867</v>
      </c>
      <c r="AB32" s="367">
        <f>'План продаж'!AC9</f>
        <v>44897</v>
      </c>
      <c r="AC32" s="367">
        <f>'План продаж'!AD9</f>
        <v>44928</v>
      </c>
      <c r="AD32" s="367">
        <f>'План продаж'!AE9</f>
        <v>44959</v>
      </c>
      <c r="AE32" s="367">
        <f>'План продаж'!AF9</f>
        <v>44987</v>
      </c>
      <c r="AF32" s="367">
        <f>'План продаж'!AG9</f>
        <v>45018</v>
      </c>
      <c r="AG32" s="367">
        <f>'План продаж'!AH9</f>
        <v>45048</v>
      </c>
      <c r="AH32" s="367">
        <f>'План продаж'!AI9</f>
        <v>45079</v>
      </c>
      <c r="AI32" s="367">
        <f>'План продаж'!AJ9</f>
        <v>45109</v>
      </c>
      <c r="AJ32" s="367">
        <f>'План продаж'!AK9</f>
        <v>45140</v>
      </c>
      <c r="AK32" s="367">
        <f>'План продаж'!AL9</f>
        <v>45171</v>
      </c>
      <c r="AL32" s="367">
        <f>'План продаж'!AM9</f>
        <v>45201</v>
      </c>
      <c r="AM32" s="367">
        <f>'План продаж'!AN9</f>
        <v>45232</v>
      </c>
      <c r="AN32" s="367">
        <f>'План продаж'!AO9</f>
        <v>45262</v>
      </c>
      <c r="AO32" s="367">
        <f>'План продаж'!AP9</f>
        <v>45293</v>
      </c>
      <c r="AP32" s="367">
        <f>'План продаж'!AQ9</f>
        <v>45324</v>
      </c>
      <c r="AQ32" s="367">
        <f>'План продаж'!AR9</f>
        <v>45353</v>
      </c>
      <c r="AR32" s="367">
        <f>'План продаж'!AS9</f>
        <v>45384</v>
      </c>
      <c r="AS32" s="367">
        <f>'План продаж'!AT9</f>
        <v>45414</v>
      </c>
      <c r="AT32" s="367">
        <f>'План продаж'!AU9</f>
        <v>45445</v>
      </c>
      <c r="AU32" s="367">
        <f>'План продаж'!AV9</f>
        <v>45475</v>
      </c>
      <c r="AV32" s="367">
        <f>'План продаж'!AW9</f>
        <v>45506</v>
      </c>
      <c r="AW32" s="367">
        <f>'План продаж'!AX9</f>
        <v>45537</v>
      </c>
      <c r="AX32" s="367">
        <f>'План продаж'!AY9</f>
        <v>45567</v>
      </c>
      <c r="AY32" s="367">
        <f>'План продаж'!AZ9</f>
        <v>45598</v>
      </c>
      <c r="AZ32" s="367">
        <f>'План продаж'!BA9</f>
        <v>45628</v>
      </c>
      <c r="BA32" s="367">
        <f>'План продаж'!BB9</f>
        <v>45659</v>
      </c>
      <c r="BB32" s="367">
        <f>'План продаж'!BC9</f>
        <v>45690</v>
      </c>
      <c r="BC32" s="367">
        <f>'План продаж'!BD9</f>
        <v>45718</v>
      </c>
      <c r="BD32" s="367">
        <f>'План продаж'!BE9</f>
        <v>45749</v>
      </c>
      <c r="BE32" s="367">
        <f>'План продаж'!BF9</f>
        <v>45779</v>
      </c>
      <c r="BF32" s="367">
        <f>'План продаж'!BG9</f>
        <v>45810</v>
      </c>
      <c r="BG32" s="367">
        <f>'План продаж'!BH9</f>
        <v>45840</v>
      </c>
      <c r="BH32" s="367">
        <f>'План продаж'!BI9</f>
        <v>45871</v>
      </c>
      <c r="BI32" s="367">
        <f>'План продаж'!BJ9</f>
        <v>45902</v>
      </c>
      <c r="BJ32" s="367">
        <f>'План продаж'!BK9</f>
        <v>45932</v>
      </c>
      <c r="BK32" s="367">
        <f>'План продаж'!BL9</f>
        <v>45963</v>
      </c>
      <c r="BL32" s="367">
        <f>'План продаж'!BM9</f>
        <v>45993</v>
      </c>
      <c r="BM32" s="367">
        <f>'План продаж'!BN9</f>
        <v>46024</v>
      </c>
      <c r="BN32" s="367">
        <f>'План продаж'!BO9</f>
        <v>46055</v>
      </c>
      <c r="BO32" s="367">
        <f>'План продаж'!BP9</f>
        <v>46083</v>
      </c>
      <c r="BP32" s="367">
        <f>'План продаж'!BQ9</f>
        <v>46114</v>
      </c>
      <c r="BQ32" s="367">
        <f>'План продаж'!BR9</f>
        <v>46144</v>
      </c>
      <c r="BR32" s="367">
        <f>'План продаж'!BS9</f>
        <v>46175</v>
      </c>
      <c r="BS32" s="367">
        <f>'План продаж'!BT9</f>
        <v>46205</v>
      </c>
      <c r="BT32" s="367">
        <f>'План продаж'!BU9</f>
        <v>46236</v>
      </c>
      <c r="BU32" s="367">
        <f>'План продаж'!BV9</f>
        <v>46267</v>
      </c>
      <c r="BV32" s="367">
        <f>'План продаж'!BW9</f>
        <v>46297</v>
      </c>
      <c r="BW32" s="367">
        <f>'План продаж'!BX9</f>
        <v>46328</v>
      </c>
      <c r="BX32" s="367">
        <f>'План продаж'!BY9</f>
        <v>46358</v>
      </c>
    </row>
    <row r="33" spans="1:76" x14ac:dyDescent="0.25">
      <c r="A33" s="125" t="str">
        <f t="shared" ref="A33:A51" si="0">A9</f>
        <v>Управление</v>
      </c>
      <c r="B33" s="121">
        <f>SUM(B34:B37)</f>
        <v>1</v>
      </c>
      <c r="C33" s="121">
        <f t="shared" ref="C33:BN33" si="1">SUM(C34:C37)</f>
        <v>1</v>
      </c>
      <c r="D33" s="121">
        <f t="shared" si="1"/>
        <v>1</v>
      </c>
      <c r="E33" s="121">
        <f t="shared" si="1"/>
        <v>1</v>
      </c>
      <c r="F33" s="121">
        <f t="shared" si="1"/>
        <v>1</v>
      </c>
      <c r="G33" s="121">
        <f t="shared" si="1"/>
        <v>1</v>
      </c>
      <c r="H33" s="121">
        <f t="shared" si="1"/>
        <v>1</v>
      </c>
      <c r="I33" s="121">
        <f t="shared" si="1"/>
        <v>1</v>
      </c>
      <c r="J33" s="121">
        <f t="shared" si="1"/>
        <v>4</v>
      </c>
      <c r="K33" s="121">
        <f t="shared" ref="K33:M33" si="2">SUM(K34:K37)</f>
        <v>5</v>
      </c>
      <c r="L33" s="121">
        <f t="shared" si="2"/>
        <v>5</v>
      </c>
      <c r="M33" s="121">
        <f t="shared" si="2"/>
        <v>5</v>
      </c>
      <c r="N33" s="121">
        <f t="shared" si="1"/>
        <v>5</v>
      </c>
      <c r="O33" s="121">
        <f t="shared" si="1"/>
        <v>5</v>
      </c>
      <c r="P33" s="121">
        <f t="shared" si="1"/>
        <v>5</v>
      </c>
      <c r="Q33" s="121">
        <f t="shared" si="1"/>
        <v>5</v>
      </c>
      <c r="R33" s="121">
        <f t="shared" si="1"/>
        <v>5</v>
      </c>
      <c r="S33" s="121">
        <f t="shared" si="1"/>
        <v>5</v>
      </c>
      <c r="T33" s="121">
        <f t="shared" si="1"/>
        <v>5</v>
      </c>
      <c r="U33" s="121">
        <f t="shared" si="1"/>
        <v>5</v>
      </c>
      <c r="V33" s="121">
        <f t="shared" si="1"/>
        <v>5</v>
      </c>
      <c r="W33" s="121">
        <f t="shared" si="1"/>
        <v>5</v>
      </c>
      <c r="X33" s="121">
        <f t="shared" si="1"/>
        <v>5</v>
      </c>
      <c r="Y33" s="121">
        <f t="shared" si="1"/>
        <v>5</v>
      </c>
      <c r="Z33" s="121">
        <f t="shared" si="1"/>
        <v>5</v>
      </c>
      <c r="AA33" s="121">
        <f t="shared" si="1"/>
        <v>5</v>
      </c>
      <c r="AB33" s="121">
        <f t="shared" si="1"/>
        <v>5</v>
      </c>
      <c r="AC33" s="121">
        <f t="shared" si="1"/>
        <v>5</v>
      </c>
      <c r="AD33" s="121">
        <f t="shared" si="1"/>
        <v>5</v>
      </c>
      <c r="AE33" s="121">
        <f t="shared" si="1"/>
        <v>5</v>
      </c>
      <c r="AF33" s="121">
        <f t="shared" si="1"/>
        <v>5</v>
      </c>
      <c r="AG33" s="121">
        <f t="shared" si="1"/>
        <v>5</v>
      </c>
      <c r="AH33" s="121">
        <f t="shared" si="1"/>
        <v>5</v>
      </c>
      <c r="AI33" s="121">
        <f t="shared" si="1"/>
        <v>5</v>
      </c>
      <c r="AJ33" s="121">
        <f t="shared" si="1"/>
        <v>5</v>
      </c>
      <c r="AK33" s="121">
        <f t="shared" si="1"/>
        <v>5</v>
      </c>
      <c r="AL33" s="121">
        <f t="shared" si="1"/>
        <v>5</v>
      </c>
      <c r="AM33" s="121">
        <f t="shared" si="1"/>
        <v>5</v>
      </c>
      <c r="AN33" s="121">
        <f t="shared" si="1"/>
        <v>5</v>
      </c>
      <c r="AO33" s="121">
        <f t="shared" si="1"/>
        <v>5</v>
      </c>
      <c r="AP33" s="121">
        <f t="shared" si="1"/>
        <v>5</v>
      </c>
      <c r="AQ33" s="121">
        <f t="shared" si="1"/>
        <v>5</v>
      </c>
      <c r="AR33" s="121">
        <f t="shared" si="1"/>
        <v>5</v>
      </c>
      <c r="AS33" s="121">
        <f t="shared" si="1"/>
        <v>5</v>
      </c>
      <c r="AT33" s="121">
        <f t="shared" si="1"/>
        <v>5</v>
      </c>
      <c r="AU33" s="121">
        <f t="shared" si="1"/>
        <v>5</v>
      </c>
      <c r="AV33" s="121">
        <f t="shared" si="1"/>
        <v>5</v>
      </c>
      <c r="AW33" s="121">
        <f t="shared" si="1"/>
        <v>5</v>
      </c>
      <c r="AX33" s="121">
        <f t="shared" si="1"/>
        <v>5</v>
      </c>
      <c r="AY33" s="121">
        <f t="shared" si="1"/>
        <v>5</v>
      </c>
      <c r="AZ33" s="121">
        <f t="shared" si="1"/>
        <v>5</v>
      </c>
      <c r="BA33" s="121">
        <f t="shared" si="1"/>
        <v>5</v>
      </c>
      <c r="BB33" s="121">
        <f t="shared" si="1"/>
        <v>5</v>
      </c>
      <c r="BC33" s="121">
        <f t="shared" si="1"/>
        <v>5</v>
      </c>
      <c r="BD33" s="121">
        <f t="shared" si="1"/>
        <v>5</v>
      </c>
      <c r="BE33" s="121">
        <f t="shared" si="1"/>
        <v>5</v>
      </c>
      <c r="BF33" s="121">
        <f t="shared" si="1"/>
        <v>5</v>
      </c>
      <c r="BG33" s="121">
        <f t="shared" si="1"/>
        <v>5</v>
      </c>
      <c r="BH33" s="121">
        <f t="shared" si="1"/>
        <v>5</v>
      </c>
      <c r="BI33" s="121">
        <f t="shared" si="1"/>
        <v>5</v>
      </c>
      <c r="BJ33" s="121">
        <f t="shared" si="1"/>
        <v>5</v>
      </c>
      <c r="BK33" s="121">
        <f t="shared" si="1"/>
        <v>5</v>
      </c>
      <c r="BL33" s="121">
        <f t="shared" si="1"/>
        <v>5</v>
      </c>
      <c r="BM33" s="121">
        <f t="shared" si="1"/>
        <v>5</v>
      </c>
      <c r="BN33" s="121">
        <f t="shared" si="1"/>
        <v>5</v>
      </c>
      <c r="BO33" s="121">
        <f t="shared" ref="BO33:BX33" si="3">SUM(BO34:BO37)</f>
        <v>5</v>
      </c>
      <c r="BP33" s="121">
        <f t="shared" si="3"/>
        <v>5</v>
      </c>
      <c r="BQ33" s="121">
        <f t="shared" si="3"/>
        <v>5</v>
      </c>
      <c r="BR33" s="121">
        <f t="shared" si="3"/>
        <v>5</v>
      </c>
      <c r="BS33" s="121">
        <f t="shared" si="3"/>
        <v>5</v>
      </c>
      <c r="BT33" s="121">
        <f t="shared" si="3"/>
        <v>5</v>
      </c>
      <c r="BU33" s="121">
        <f t="shared" si="3"/>
        <v>5</v>
      </c>
      <c r="BV33" s="121">
        <f t="shared" si="3"/>
        <v>5</v>
      </c>
      <c r="BW33" s="121">
        <f t="shared" si="3"/>
        <v>5</v>
      </c>
      <c r="BX33" s="121">
        <f t="shared" si="3"/>
        <v>5</v>
      </c>
    </row>
    <row r="34" spans="1:76" x14ac:dyDescent="0.25">
      <c r="A34" s="124" t="str">
        <f t="shared" si="0"/>
        <v>Генеральный директор</v>
      </c>
      <c r="B34" s="122">
        <f t="shared" ref="B34" si="4">$B10</f>
        <v>1</v>
      </c>
      <c r="C34" s="122">
        <f t="shared" ref="C34:BN34" si="5">$B10</f>
        <v>1</v>
      </c>
      <c r="D34" s="122">
        <f t="shared" si="5"/>
        <v>1</v>
      </c>
      <c r="E34" s="122">
        <f t="shared" si="5"/>
        <v>1</v>
      </c>
      <c r="F34" s="122">
        <f t="shared" si="5"/>
        <v>1</v>
      </c>
      <c r="G34" s="122">
        <f t="shared" si="5"/>
        <v>1</v>
      </c>
      <c r="H34" s="122">
        <f t="shared" si="5"/>
        <v>1</v>
      </c>
      <c r="I34" s="122">
        <f t="shared" si="5"/>
        <v>1</v>
      </c>
      <c r="J34" s="122">
        <f t="shared" ref="J34:M34" si="6">$B10</f>
        <v>1</v>
      </c>
      <c r="K34" s="122">
        <f t="shared" si="6"/>
        <v>1</v>
      </c>
      <c r="L34" s="122">
        <f t="shared" si="6"/>
        <v>1</v>
      </c>
      <c r="M34" s="122">
        <f t="shared" si="6"/>
        <v>1</v>
      </c>
      <c r="N34" s="122">
        <f t="shared" si="5"/>
        <v>1</v>
      </c>
      <c r="O34" s="122">
        <f t="shared" si="5"/>
        <v>1</v>
      </c>
      <c r="P34" s="122">
        <f t="shared" si="5"/>
        <v>1</v>
      </c>
      <c r="Q34" s="122">
        <f t="shared" si="5"/>
        <v>1</v>
      </c>
      <c r="R34" s="122">
        <f t="shared" si="5"/>
        <v>1</v>
      </c>
      <c r="S34" s="122">
        <f t="shared" si="5"/>
        <v>1</v>
      </c>
      <c r="T34" s="122">
        <f t="shared" si="5"/>
        <v>1</v>
      </c>
      <c r="U34" s="122">
        <f t="shared" si="5"/>
        <v>1</v>
      </c>
      <c r="V34" s="122">
        <f t="shared" si="5"/>
        <v>1</v>
      </c>
      <c r="W34" s="122">
        <f t="shared" si="5"/>
        <v>1</v>
      </c>
      <c r="X34" s="122">
        <f t="shared" si="5"/>
        <v>1</v>
      </c>
      <c r="Y34" s="122">
        <f t="shared" si="5"/>
        <v>1</v>
      </c>
      <c r="Z34" s="122">
        <f t="shared" si="5"/>
        <v>1</v>
      </c>
      <c r="AA34" s="122">
        <f t="shared" si="5"/>
        <v>1</v>
      </c>
      <c r="AB34" s="122">
        <f t="shared" si="5"/>
        <v>1</v>
      </c>
      <c r="AC34" s="122">
        <f t="shared" si="5"/>
        <v>1</v>
      </c>
      <c r="AD34" s="122">
        <f t="shared" si="5"/>
        <v>1</v>
      </c>
      <c r="AE34" s="122">
        <f t="shared" si="5"/>
        <v>1</v>
      </c>
      <c r="AF34" s="122">
        <f t="shared" si="5"/>
        <v>1</v>
      </c>
      <c r="AG34" s="122">
        <f t="shared" si="5"/>
        <v>1</v>
      </c>
      <c r="AH34" s="122">
        <f t="shared" si="5"/>
        <v>1</v>
      </c>
      <c r="AI34" s="122">
        <f t="shared" si="5"/>
        <v>1</v>
      </c>
      <c r="AJ34" s="122">
        <f t="shared" si="5"/>
        <v>1</v>
      </c>
      <c r="AK34" s="122">
        <f t="shared" si="5"/>
        <v>1</v>
      </c>
      <c r="AL34" s="122">
        <f t="shared" si="5"/>
        <v>1</v>
      </c>
      <c r="AM34" s="122">
        <f t="shared" si="5"/>
        <v>1</v>
      </c>
      <c r="AN34" s="122">
        <f t="shared" si="5"/>
        <v>1</v>
      </c>
      <c r="AO34" s="122">
        <f t="shared" si="5"/>
        <v>1</v>
      </c>
      <c r="AP34" s="122">
        <f t="shared" si="5"/>
        <v>1</v>
      </c>
      <c r="AQ34" s="122">
        <f t="shared" si="5"/>
        <v>1</v>
      </c>
      <c r="AR34" s="122">
        <f t="shared" si="5"/>
        <v>1</v>
      </c>
      <c r="AS34" s="122">
        <f t="shared" si="5"/>
        <v>1</v>
      </c>
      <c r="AT34" s="122">
        <f t="shared" si="5"/>
        <v>1</v>
      </c>
      <c r="AU34" s="122">
        <f t="shared" si="5"/>
        <v>1</v>
      </c>
      <c r="AV34" s="122">
        <f t="shared" si="5"/>
        <v>1</v>
      </c>
      <c r="AW34" s="122">
        <f t="shared" si="5"/>
        <v>1</v>
      </c>
      <c r="AX34" s="122">
        <f t="shared" si="5"/>
        <v>1</v>
      </c>
      <c r="AY34" s="122">
        <f t="shared" si="5"/>
        <v>1</v>
      </c>
      <c r="AZ34" s="122">
        <f t="shared" si="5"/>
        <v>1</v>
      </c>
      <c r="BA34" s="122">
        <f t="shared" si="5"/>
        <v>1</v>
      </c>
      <c r="BB34" s="122">
        <f t="shared" si="5"/>
        <v>1</v>
      </c>
      <c r="BC34" s="122">
        <f t="shared" si="5"/>
        <v>1</v>
      </c>
      <c r="BD34" s="122">
        <f t="shared" si="5"/>
        <v>1</v>
      </c>
      <c r="BE34" s="122">
        <f t="shared" si="5"/>
        <v>1</v>
      </c>
      <c r="BF34" s="122">
        <f t="shared" si="5"/>
        <v>1</v>
      </c>
      <c r="BG34" s="122">
        <f t="shared" si="5"/>
        <v>1</v>
      </c>
      <c r="BH34" s="122">
        <f t="shared" si="5"/>
        <v>1</v>
      </c>
      <c r="BI34" s="122">
        <f t="shared" si="5"/>
        <v>1</v>
      </c>
      <c r="BJ34" s="122">
        <f t="shared" si="5"/>
        <v>1</v>
      </c>
      <c r="BK34" s="122">
        <f t="shared" si="5"/>
        <v>1</v>
      </c>
      <c r="BL34" s="122">
        <f t="shared" si="5"/>
        <v>1</v>
      </c>
      <c r="BM34" s="122">
        <f t="shared" si="5"/>
        <v>1</v>
      </c>
      <c r="BN34" s="122">
        <f t="shared" si="5"/>
        <v>1</v>
      </c>
      <c r="BO34" s="122">
        <f t="shared" ref="BO34:BX34" si="7">$B10</f>
        <v>1</v>
      </c>
      <c r="BP34" s="122">
        <f t="shared" si="7"/>
        <v>1</v>
      </c>
      <c r="BQ34" s="122">
        <f t="shared" si="7"/>
        <v>1</v>
      </c>
      <c r="BR34" s="122">
        <f t="shared" si="7"/>
        <v>1</v>
      </c>
      <c r="BS34" s="122">
        <f t="shared" si="7"/>
        <v>1</v>
      </c>
      <c r="BT34" s="122">
        <f t="shared" si="7"/>
        <v>1</v>
      </c>
      <c r="BU34" s="122">
        <f t="shared" si="7"/>
        <v>1</v>
      </c>
      <c r="BV34" s="122">
        <f t="shared" si="7"/>
        <v>1</v>
      </c>
      <c r="BW34" s="122">
        <f t="shared" si="7"/>
        <v>1</v>
      </c>
      <c r="BX34" s="122">
        <f t="shared" si="7"/>
        <v>1</v>
      </c>
    </row>
    <row r="35" spans="1:76" x14ac:dyDescent="0.25">
      <c r="A35" s="124" t="str">
        <f t="shared" si="0"/>
        <v>Инженер ПТО</v>
      </c>
      <c r="B35" s="122">
        <v>0</v>
      </c>
      <c r="C35" s="122">
        <v>0</v>
      </c>
      <c r="D35" s="122">
        <v>0</v>
      </c>
      <c r="E35" s="122">
        <v>0</v>
      </c>
      <c r="F35" s="122">
        <v>0</v>
      </c>
      <c r="G35" s="122">
        <v>0</v>
      </c>
      <c r="H35" s="122">
        <v>0</v>
      </c>
      <c r="I35" s="122">
        <v>0</v>
      </c>
      <c r="J35" s="122">
        <f t="shared" ref="J35:M35" si="8">$B11</f>
        <v>1</v>
      </c>
      <c r="K35" s="122">
        <f t="shared" si="8"/>
        <v>1</v>
      </c>
      <c r="L35" s="122">
        <f t="shared" si="8"/>
        <v>1</v>
      </c>
      <c r="M35" s="122">
        <f t="shared" si="8"/>
        <v>1</v>
      </c>
      <c r="N35" s="122">
        <f t="shared" ref="N35:BN35" si="9">$B11</f>
        <v>1</v>
      </c>
      <c r="O35" s="122">
        <f t="shared" si="9"/>
        <v>1</v>
      </c>
      <c r="P35" s="122">
        <f t="shared" si="9"/>
        <v>1</v>
      </c>
      <c r="Q35" s="122">
        <f t="shared" si="9"/>
        <v>1</v>
      </c>
      <c r="R35" s="122">
        <f t="shared" si="9"/>
        <v>1</v>
      </c>
      <c r="S35" s="122">
        <f t="shared" si="9"/>
        <v>1</v>
      </c>
      <c r="T35" s="122">
        <f t="shared" si="9"/>
        <v>1</v>
      </c>
      <c r="U35" s="122">
        <f t="shared" si="9"/>
        <v>1</v>
      </c>
      <c r="V35" s="122">
        <f t="shared" si="9"/>
        <v>1</v>
      </c>
      <c r="W35" s="122">
        <f t="shared" si="9"/>
        <v>1</v>
      </c>
      <c r="X35" s="122">
        <f t="shared" si="9"/>
        <v>1</v>
      </c>
      <c r="Y35" s="122">
        <f t="shared" si="9"/>
        <v>1</v>
      </c>
      <c r="Z35" s="122">
        <f t="shared" si="9"/>
        <v>1</v>
      </c>
      <c r="AA35" s="122">
        <f t="shared" si="9"/>
        <v>1</v>
      </c>
      <c r="AB35" s="122">
        <f t="shared" si="9"/>
        <v>1</v>
      </c>
      <c r="AC35" s="122">
        <f t="shared" si="9"/>
        <v>1</v>
      </c>
      <c r="AD35" s="122">
        <f t="shared" si="9"/>
        <v>1</v>
      </c>
      <c r="AE35" s="122">
        <f t="shared" si="9"/>
        <v>1</v>
      </c>
      <c r="AF35" s="122">
        <f t="shared" si="9"/>
        <v>1</v>
      </c>
      <c r="AG35" s="122">
        <f t="shared" si="9"/>
        <v>1</v>
      </c>
      <c r="AH35" s="122">
        <f t="shared" si="9"/>
        <v>1</v>
      </c>
      <c r="AI35" s="122">
        <f t="shared" si="9"/>
        <v>1</v>
      </c>
      <c r="AJ35" s="122">
        <f t="shared" si="9"/>
        <v>1</v>
      </c>
      <c r="AK35" s="122">
        <f t="shared" si="9"/>
        <v>1</v>
      </c>
      <c r="AL35" s="122">
        <f t="shared" si="9"/>
        <v>1</v>
      </c>
      <c r="AM35" s="122">
        <f t="shared" si="9"/>
        <v>1</v>
      </c>
      <c r="AN35" s="122">
        <f t="shared" si="9"/>
        <v>1</v>
      </c>
      <c r="AO35" s="122">
        <f t="shared" si="9"/>
        <v>1</v>
      </c>
      <c r="AP35" s="122">
        <f t="shared" si="9"/>
        <v>1</v>
      </c>
      <c r="AQ35" s="122">
        <f t="shared" si="9"/>
        <v>1</v>
      </c>
      <c r="AR35" s="122">
        <f t="shared" si="9"/>
        <v>1</v>
      </c>
      <c r="AS35" s="122">
        <f t="shared" si="9"/>
        <v>1</v>
      </c>
      <c r="AT35" s="122">
        <f t="shared" si="9"/>
        <v>1</v>
      </c>
      <c r="AU35" s="122">
        <f t="shared" si="9"/>
        <v>1</v>
      </c>
      <c r="AV35" s="122">
        <f t="shared" si="9"/>
        <v>1</v>
      </c>
      <c r="AW35" s="122">
        <f t="shared" si="9"/>
        <v>1</v>
      </c>
      <c r="AX35" s="122">
        <f t="shared" si="9"/>
        <v>1</v>
      </c>
      <c r="AY35" s="122">
        <f t="shared" si="9"/>
        <v>1</v>
      </c>
      <c r="AZ35" s="122">
        <f t="shared" si="9"/>
        <v>1</v>
      </c>
      <c r="BA35" s="122">
        <f t="shared" si="9"/>
        <v>1</v>
      </c>
      <c r="BB35" s="122">
        <f t="shared" si="9"/>
        <v>1</v>
      </c>
      <c r="BC35" s="122">
        <f t="shared" si="9"/>
        <v>1</v>
      </c>
      <c r="BD35" s="122">
        <f t="shared" si="9"/>
        <v>1</v>
      </c>
      <c r="BE35" s="122">
        <f t="shared" si="9"/>
        <v>1</v>
      </c>
      <c r="BF35" s="122">
        <f t="shared" si="9"/>
        <v>1</v>
      </c>
      <c r="BG35" s="122">
        <f t="shared" si="9"/>
        <v>1</v>
      </c>
      <c r="BH35" s="122">
        <f t="shared" si="9"/>
        <v>1</v>
      </c>
      <c r="BI35" s="122">
        <f t="shared" si="9"/>
        <v>1</v>
      </c>
      <c r="BJ35" s="122">
        <f t="shared" si="9"/>
        <v>1</v>
      </c>
      <c r="BK35" s="122">
        <f t="shared" si="9"/>
        <v>1</v>
      </c>
      <c r="BL35" s="122">
        <f t="shared" si="9"/>
        <v>1</v>
      </c>
      <c r="BM35" s="122">
        <f t="shared" si="9"/>
        <v>1</v>
      </c>
      <c r="BN35" s="122">
        <f t="shared" si="9"/>
        <v>1</v>
      </c>
      <c r="BO35" s="122">
        <f t="shared" ref="BO35:BX35" si="10">$B11</f>
        <v>1</v>
      </c>
      <c r="BP35" s="122">
        <f t="shared" si="10"/>
        <v>1</v>
      </c>
      <c r="BQ35" s="122">
        <f t="shared" si="10"/>
        <v>1</v>
      </c>
      <c r="BR35" s="122">
        <f t="shared" si="10"/>
        <v>1</v>
      </c>
      <c r="BS35" s="122">
        <f t="shared" si="10"/>
        <v>1</v>
      </c>
      <c r="BT35" s="122">
        <f t="shared" si="10"/>
        <v>1</v>
      </c>
      <c r="BU35" s="122">
        <f t="shared" si="10"/>
        <v>1</v>
      </c>
      <c r="BV35" s="122">
        <f t="shared" si="10"/>
        <v>1</v>
      </c>
      <c r="BW35" s="122">
        <f t="shared" si="10"/>
        <v>1</v>
      </c>
      <c r="BX35" s="122">
        <f t="shared" si="10"/>
        <v>1</v>
      </c>
    </row>
    <row r="36" spans="1:76" x14ac:dyDescent="0.25">
      <c r="A36" s="124" t="str">
        <f t="shared" si="0"/>
        <v>Менеджер</v>
      </c>
      <c r="B36" s="122">
        <v>0</v>
      </c>
      <c r="C36" s="122">
        <v>0</v>
      </c>
      <c r="D36" s="122">
        <v>0</v>
      </c>
      <c r="E36" s="122">
        <v>0</v>
      </c>
      <c r="F36" s="122">
        <v>0</v>
      </c>
      <c r="G36" s="122">
        <v>0</v>
      </c>
      <c r="H36" s="122">
        <v>0</v>
      </c>
      <c r="I36" s="122">
        <v>0</v>
      </c>
      <c r="J36" s="122">
        <f t="shared" ref="J36:M36" si="11">$B12</f>
        <v>2</v>
      </c>
      <c r="K36" s="122">
        <f t="shared" si="11"/>
        <v>2</v>
      </c>
      <c r="L36" s="122">
        <f t="shared" si="11"/>
        <v>2</v>
      </c>
      <c r="M36" s="122">
        <f t="shared" si="11"/>
        <v>2</v>
      </c>
      <c r="N36" s="122">
        <f t="shared" ref="N36:BN36" si="12">$B12</f>
        <v>2</v>
      </c>
      <c r="O36" s="122">
        <f t="shared" si="12"/>
        <v>2</v>
      </c>
      <c r="P36" s="122">
        <f t="shared" si="12"/>
        <v>2</v>
      </c>
      <c r="Q36" s="122">
        <f t="shared" si="12"/>
        <v>2</v>
      </c>
      <c r="R36" s="122">
        <f t="shared" si="12"/>
        <v>2</v>
      </c>
      <c r="S36" s="122">
        <f t="shared" si="12"/>
        <v>2</v>
      </c>
      <c r="T36" s="122">
        <f t="shared" si="12"/>
        <v>2</v>
      </c>
      <c r="U36" s="122">
        <f t="shared" si="12"/>
        <v>2</v>
      </c>
      <c r="V36" s="122">
        <f t="shared" si="12"/>
        <v>2</v>
      </c>
      <c r="W36" s="122">
        <f t="shared" si="12"/>
        <v>2</v>
      </c>
      <c r="X36" s="122">
        <f t="shared" si="12"/>
        <v>2</v>
      </c>
      <c r="Y36" s="122">
        <f t="shared" si="12"/>
        <v>2</v>
      </c>
      <c r="Z36" s="122">
        <f t="shared" si="12"/>
        <v>2</v>
      </c>
      <c r="AA36" s="122">
        <f t="shared" si="12"/>
        <v>2</v>
      </c>
      <c r="AB36" s="122">
        <f t="shared" si="12"/>
        <v>2</v>
      </c>
      <c r="AC36" s="122">
        <f t="shared" si="12"/>
        <v>2</v>
      </c>
      <c r="AD36" s="122">
        <f t="shared" si="12"/>
        <v>2</v>
      </c>
      <c r="AE36" s="122">
        <f t="shared" si="12"/>
        <v>2</v>
      </c>
      <c r="AF36" s="122">
        <f t="shared" si="12"/>
        <v>2</v>
      </c>
      <c r="AG36" s="122">
        <f t="shared" si="12"/>
        <v>2</v>
      </c>
      <c r="AH36" s="122">
        <f t="shared" si="12"/>
        <v>2</v>
      </c>
      <c r="AI36" s="122">
        <f t="shared" si="12"/>
        <v>2</v>
      </c>
      <c r="AJ36" s="122">
        <f t="shared" si="12"/>
        <v>2</v>
      </c>
      <c r="AK36" s="122">
        <f t="shared" si="12"/>
        <v>2</v>
      </c>
      <c r="AL36" s="122">
        <f t="shared" si="12"/>
        <v>2</v>
      </c>
      <c r="AM36" s="122">
        <f t="shared" si="12"/>
        <v>2</v>
      </c>
      <c r="AN36" s="122">
        <f t="shared" si="12"/>
        <v>2</v>
      </c>
      <c r="AO36" s="122">
        <f t="shared" si="12"/>
        <v>2</v>
      </c>
      <c r="AP36" s="122">
        <f t="shared" si="12"/>
        <v>2</v>
      </c>
      <c r="AQ36" s="122">
        <f t="shared" si="12"/>
        <v>2</v>
      </c>
      <c r="AR36" s="122">
        <f t="shared" si="12"/>
        <v>2</v>
      </c>
      <c r="AS36" s="122">
        <f t="shared" si="12"/>
        <v>2</v>
      </c>
      <c r="AT36" s="122">
        <f t="shared" si="12"/>
        <v>2</v>
      </c>
      <c r="AU36" s="122">
        <f t="shared" si="12"/>
        <v>2</v>
      </c>
      <c r="AV36" s="122">
        <f t="shared" si="12"/>
        <v>2</v>
      </c>
      <c r="AW36" s="122">
        <f t="shared" si="12"/>
        <v>2</v>
      </c>
      <c r="AX36" s="122">
        <f t="shared" si="12"/>
        <v>2</v>
      </c>
      <c r="AY36" s="122">
        <f t="shared" si="12"/>
        <v>2</v>
      </c>
      <c r="AZ36" s="122">
        <f t="shared" si="12"/>
        <v>2</v>
      </c>
      <c r="BA36" s="122">
        <f t="shared" si="12"/>
        <v>2</v>
      </c>
      <c r="BB36" s="122">
        <f t="shared" si="12"/>
        <v>2</v>
      </c>
      <c r="BC36" s="122">
        <f t="shared" si="12"/>
        <v>2</v>
      </c>
      <c r="BD36" s="122">
        <f t="shared" si="12"/>
        <v>2</v>
      </c>
      <c r="BE36" s="122">
        <f t="shared" si="12"/>
        <v>2</v>
      </c>
      <c r="BF36" s="122">
        <f t="shared" si="12"/>
        <v>2</v>
      </c>
      <c r="BG36" s="122">
        <f t="shared" si="12"/>
        <v>2</v>
      </c>
      <c r="BH36" s="122">
        <f t="shared" si="12"/>
        <v>2</v>
      </c>
      <c r="BI36" s="122">
        <f t="shared" si="12"/>
        <v>2</v>
      </c>
      <c r="BJ36" s="122">
        <f t="shared" si="12"/>
        <v>2</v>
      </c>
      <c r="BK36" s="122">
        <f t="shared" si="12"/>
        <v>2</v>
      </c>
      <c r="BL36" s="122">
        <f t="shared" si="12"/>
        <v>2</v>
      </c>
      <c r="BM36" s="122">
        <f t="shared" si="12"/>
        <v>2</v>
      </c>
      <c r="BN36" s="122">
        <f t="shared" si="12"/>
        <v>2</v>
      </c>
      <c r="BO36" s="122">
        <f t="shared" ref="BO36:BX36" si="13">$B12</f>
        <v>2</v>
      </c>
      <c r="BP36" s="122">
        <f t="shared" si="13"/>
        <v>2</v>
      </c>
      <c r="BQ36" s="122">
        <f t="shared" si="13"/>
        <v>2</v>
      </c>
      <c r="BR36" s="122">
        <f t="shared" si="13"/>
        <v>2</v>
      </c>
      <c r="BS36" s="122">
        <f t="shared" si="13"/>
        <v>2</v>
      </c>
      <c r="BT36" s="122">
        <f t="shared" si="13"/>
        <v>2</v>
      </c>
      <c r="BU36" s="122">
        <f t="shared" si="13"/>
        <v>2</v>
      </c>
      <c r="BV36" s="122">
        <f t="shared" si="13"/>
        <v>2</v>
      </c>
      <c r="BW36" s="122">
        <f t="shared" si="13"/>
        <v>2</v>
      </c>
      <c r="BX36" s="122">
        <f t="shared" si="13"/>
        <v>2</v>
      </c>
    </row>
    <row r="37" spans="1:76" x14ac:dyDescent="0.25">
      <c r="A37" s="124" t="str">
        <f t="shared" si="0"/>
        <v>Бухгалтер</v>
      </c>
      <c r="B37" s="122">
        <v>0</v>
      </c>
      <c r="C37" s="122">
        <v>0</v>
      </c>
      <c r="D37" s="122">
        <v>0</v>
      </c>
      <c r="E37" s="122">
        <v>0</v>
      </c>
      <c r="F37" s="122">
        <v>0</v>
      </c>
      <c r="G37" s="122">
        <v>0</v>
      </c>
      <c r="H37" s="122">
        <v>0</v>
      </c>
      <c r="I37" s="122">
        <v>0</v>
      </c>
      <c r="J37" s="122">
        <v>0</v>
      </c>
      <c r="K37" s="122">
        <f t="shared" ref="K37:M37" si="14">$B13</f>
        <v>1</v>
      </c>
      <c r="L37" s="122">
        <f t="shared" si="14"/>
        <v>1</v>
      </c>
      <c r="M37" s="122">
        <f t="shared" si="14"/>
        <v>1</v>
      </c>
      <c r="N37" s="122">
        <f t="shared" ref="N37:BN37" si="15">$B13</f>
        <v>1</v>
      </c>
      <c r="O37" s="122">
        <f t="shared" si="15"/>
        <v>1</v>
      </c>
      <c r="P37" s="122">
        <f t="shared" si="15"/>
        <v>1</v>
      </c>
      <c r="Q37" s="122">
        <f t="shared" si="15"/>
        <v>1</v>
      </c>
      <c r="R37" s="122">
        <f t="shared" si="15"/>
        <v>1</v>
      </c>
      <c r="S37" s="122">
        <f t="shared" si="15"/>
        <v>1</v>
      </c>
      <c r="T37" s="122">
        <f t="shared" si="15"/>
        <v>1</v>
      </c>
      <c r="U37" s="122">
        <f t="shared" si="15"/>
        <v>1</v>
      </c>
      <c r="V37" s="122">
        <f t="shared" si="15"/>
        <v>1</v>
      </c>
      <c r="W37" s="122">
        <f t="shared" si="15"/>
        <v>1</v>
      </c>
      <c r="X37" s="122">
        <f t="shared" si="15"/>
        <v>1</v>
      </c>
      <c r="Y37" s="122">
        <f t="shared" si="15"/>
        <v>1</v>
      </c>
      <c r="Z37" s="122">
        <f t="shared" si="15"/>
        <v>1</v>
      </c>
      <c r="AA37" s="122">
        <f t="shared" si="15"/>
        <v>1</v>
      </c>
      <c r="AB37" s="122">
        <f t="shared" si="15"/>
        <v>1</v>
      </c>
      <c r="AC37" s="122">
        <f t="shared" si="15"/>
        <v>1</v>
      </c>
      <c r="AD37" s="122">
        <f t="shared" si="15"/>
        <v>1</v>
      </c>
      <c r="AE37" s="122">
        <f t="shared" si="15"/>
        <v>1</v>
      </c>
      <c r="AF37" s="122">
        <f t="shared" si="15"/>
        <v>1</v>
      </c>
      <c r="AG37" s="122">
        <f t="shared" si="15"/>
        <v>1</v>
      </c>
      <c r="AH37" s="122">
        <f t="shared" si="15"/>
        <v>1</v>
      </c>
      <c r="AI37" s="122">
        <f t="shared" si="15"/>
        <v>1</v>
      </c>
      <c r="AJ37" s="122">
        <f t="shared" si="15"/>
        <v>1</v>
      </c>
      <c r="AK37" s="122">
        <f t="shared" si="15"/>
        <v>1</v>
      </c>
      <c r="AL37" s="122">
        <f t="shared" si="15"/>
        <v>1</v>
      </c>
      <c r="AM37" s="122">
        <f t="shared" si="15"/>
        <v>1</v>
      </c>
      <c r="AN37" s="122">
        <f t="shared" si="15"/>
        <v>1</v>
      </c>
      <c r="AO37" s="122">
        <f t="shared" si="15"/>
        <v>1</v>
      </c>
      <c r="AP37" s="122">
        <f t="shared" si="15"/>
        <v>1</v>
      </c>
      <c r="AQ37" s="122">
        <f t="shared" si="15"/>
        <v>1</v>
      </c>
      <c r="AR37" s="122">
        <f t="shared" si="15"/>
        <v>1</v>
      </c>
      <c r="AS37" s="122">
        <f t="shared" si="15"/>
        <v>1</v>
      </c>
      <c r="AT37" s="122">
        <f t="shared" si="15"/>
        <v>1</v>
      </c>
      <c r="AU37" s="122">
        <f t="shared" si="15"/>
        <v>1</v>
      </c>
      <c r="AV37" s="122">
        <f t="shared" si="15"/>
        <v>1</v>
      </c>
      <c r="AW37" s="122">
        <f t="shared" si="15"/>
        <v>1</v>
      </c>
      <c r="AX37" s="122">
        <f t="shared" si="15"/>
        <v>1</v>
      </c>
      <c r="AY37" s="122">
        <f t="shared" si="15"/>
        <v>1</v>
      </c>
      <c r="AZ37" s="122">
        <f t="shared" si="15"/>
        <v>1</v>
      </c>
      <c r="BA37" s="122">
        <f t="shared" si="15"/>
        <v>1</v>
      </c>
      <c r="BB37" s="122">
        <f t="shared" si="15"/>
        <v>1</v>
      </c>
      <c r="BC37" s="122">
        <f t="shared" si="15"/>
        <v>1</v>
      </c>
      <c r="BD37" s="122">
        <f t="shared" si="15"/>
        <v>1</v>
      </c>
      <c r="BE37" s="122">
        <f t="shared" si="15"/>
        <v>1</v>
      </c>
      <c r="BF37" s="122">
        <f t="shared" si="15"/>
        <v>1</v>
      </c>
      <c r="BG37" s="122">
        <f t="shared" si="15"/>
        <v>1</v>
      </c>
      <c r="BH37" s="122">
        <f t="shared" si="15"/>
        <v>1</v>
      </c>
      <c r="BI37" s="122">
        <f t="shared" si="15"/>
        <v>1</v>
      </c>
      <c r="BJ37" s="122">
        <f t="shared" si="15"/>
        <v>1</v>
      </c>
      <c r="BK37" s="122">
        <f t="shared" si="15"/>
        <v>1</v>
      </c>
      <c r="BL37" s="122">
        <f t="shared" si="15"/>
        <v>1</v>
      </c>
      <c r="BM37" s="122">
        <f t="shared" si="15"/>
        <v>1</v>
      </c>
      <c r="BN37" s="122">
        <f t="shared" si="15"/>
        <v>1</v>
      </c>
      <c r="BO37" s="122">
        <f t="shared" ref="BO37:BX37" si="16">$B13</f>
        <v>1</v>
      </c>
      <c r="BP37" s="122">
        <f t="shared" si="16"/>
        <v>1</v>
      </c>
      <c r="BQ37" s="122">
        <f t="shared" si="16"/>
        <v>1</v>
      </c>
      <c r="BR37" s="122">
        <f t="shared" si="16"/>
        <v>1</v>
      </c>
      <c r="BS37" s="122">
        <f t="shared" si="16"/>
        <v>1</v>
      </c>
      <c r="BT37" s="122">
        <f t="shared" si="16"/>
        <v>1</v>
      </c>
      <c r="BU37" s="122">
        <f t="shared" si="16"/>
        <v>1</v>
      </c>
      <c r="BV37" s="122">
        <f t="shared" si="16"/>
        <v>1</v>
      </c>
      <c r="BW37" s="122">
        <f t="shared" si="16"/>
        <v>1</v>
      </c>
      <c r="BX37" s="122">
        <f t="shared" si="16"/>
        <v>1</v>
      </c>
    </row>
    <row r="38" spans="1:76" x14ac:dyDescent="0.25">
      <c r="A38" s="125" t="str">
        <f t="shared" si="0"/>
        <v>Служба размещения</v>
      </c>
      <c r="B38" s="121">
        <f>SUM(B39:B42)</f>
        <v>0</v>
      </c>
      <c r="C38" s="121">
        <f t="shared" ref="C38:BN38" si="17">SUM(C39:C42)</f>
        <v>0</v>
      </c>
      <c r="D38" s="121">
        <f t="shared" si="17"/>
        <v>0</v>
      </c>
      <c r="E38" s="121">
        <f t="shared" si="17"/>
        <v>0</v>
      </c>
      <c r="F38" s="121">
        <f t="shared" si="17"/>
        <v>0</v>
      </c>
      <c r="G38" s="121">
        <f t="shared" si="17"/>
        <v>0</v>
      </c>
      <c r="H38" s="121">
        <f t="shared" si="17"/>
        <v>0</v>
      </c>
      <c r="I38" s="121">
        <f t="shared" si="17"/>
        <v>0</v>
      </c>
      <c r="J38" s="121">
        <f t="shared" ref="J38:M38" si="18">SUM(J39:J42)</f>
        <v>0</v>
      </c>
      <c r="K38" s="121">
        <f t="shared" si="18"/>
        <v>11</v>
      </c>
      <c r="L38" s="121">
        <f t="shared" si="18"/>
        <v>11</v>
      </c>
      <c r="M38" s="121">
        <f t="shared" si="18"/>
        <v>11</v>
      </c>
      <c r="N38" s="121">
        <f t="shared" si="17"/>
        <v>11</v>
      </c>
      <c r="O38" s="121">
        <f t="shared" si="17"/>
        <v>11</v>
      </c>
      <c r="P38" s="121">
        <f t="shared" si="17"/>
        <v>11</v>
      </c>
      <c r="Q38" s="121">
        <f t="shared" si="17"/>
        <v>11</v>
      </c>
      <c r="R38" s="121">
        <f t="shared" si="17"/>
        <v>11</v>
      </c>
      <c r="S38" s="121">
        <f t="shared" si="17"/>
        <v>11</v>
      </c>
      <c r="T38" s="121">
        <f t="shared" si="17"/>
        <v>11</v>
      </c>
      <c r="U38" s="121">
        <f t="shared" si="17"/>
        <v>11</v>
      </c>
      <c r="V38" s="121">
        <f t="shared" si="17"/>
        <v>11</v>
      </c>
      <c r="W38" s="121">
        <f t="shared" si="17"/>
        <v>11</v>
      </c>
      <c r="X38" s="121">
        <f t="shared" si="17"/>
        <v>11</v>
      </c>
      <c r="Y38" s="121">
        <f t="shared" si="17"/>
        <v>11</v>
      </c>
      <c r="Z38" s="121">
        <f t="shared" si="17"/>
        <v>11</v>
      </c>
      <c r="AA38" s="121">
        <f t="shared" si="17"/>
        <v>11</v>
      </c>
      <c r="AB38" s="121">
        <f t="shared" si="17"/>
        <v>11</v>
      </c>
      <c r="AC38" s="121">
        <f t="shared" si="17"/>
        <v>11</v>
      </c>
      <c r="AD38" s="121">
        <f t="shared" si="17"/>
        <v>11</v>
      </c>
      <c r="AE38" s="121">
        <f t="shared" si="17"/>
        <v>11</v>
      </c>
      <c r="AF38" s="121">
        <f t="shared" si="17"/>
        <v>11</v>
      </c>
      <c r="AG38" s="121">
        <f t="shared" si="17"/>
        <v>11</v>
      </c>
      <c r="AH38" s="121">
        <f t="shared" si="17"/>
        <v>11</v>
      </c>
      <c r="AI38" s="121">
        <f t="shared" si="17"/>
        <v>11</v>
      </c>
      <c r="AJ38" s="121">
        <f t="shared" si="17"/>
        <v>11</v>
      </c>
      <c r="AK38" s="121">
        <f t="shared" si="17"/>
        <v>11</v>
      </c>
      <c r="AL38" s="121">
        <f t="shared" si="17"/>
        <v>11</v>
      </c>
      <c r="AM38" s="121">
        <f t="shared" si="17"/>
        <v>11</v>
      </c>
      <c r="AN38" s="121">
        <f t="shared" si="17"/>
        <v>11</v>
      </c>
      <c r="AO38" s="121">
        <f t="shared" si="17"/>
        <v>11</v>
      </c>
      <c r="AP38" s="121">
        <f t="shared" si="17"/>
        <v>11</v>
      </c>
      <c r="AQ38" s="121">
        <f t="shared" si="17"/>
        <v>11</v>
      </c>
      <c r="AR38" s="121">
        <f t="shared" si="17"/>
        <v>11</v>
      </c>
      <c r="AS38" s="121">
        <f t="shared" si="17"/>
        <v>11</v>
      </c>
      <c r="AT38" s="121">
        <f t="shared" si="17"/>
        <v>11</v>
      </c>
      <c r="AU38" s="121">
        <f t="shared" si="17"/>
        <v>11</v>
      </c>
      <c r="AV38" s="121">
        <f t="shared" si="17"/>
        <v>11</v>
      </c>
      <c r="AW38" s="121">
        <f t="shared" si="17"/>
        <v>11</v>
      </c>
      <c r="AX38" s="121">
        <f t="shared" si="17"/>
        <v>11</v>
      </c>
      <c r="AY38" s="121">
        <f t="shared" si="17"/>
        <v>11</v>
      </c>
      <c r="AZ38" s="121">
        <f t="shared" si="17"/>
        <v>11</v>
      </c>
      <c r="BA38" s="121">
        <f t="shared" si="17"/>
        <v>11</v>
      </c>
      <c r="BB38" s="121">
        <f t="shared" si="17"/>
        <v>11</v>
      </c>
      <c r="BC38" s="121">
        <f t="shared" si="17"/>
        <v>11</v>
      </c>
      <c r="BD38" s="121">
        <f t="shared" si="17"/>
        <v>11</v>
      </c>
      <c r="BE38" s="121">
        <f t="shared" si="17"/>
        <v>11</v>
      </c>
      <c r="BF38" s="121">
        <f t="shared" si="17"/>
        <v>11</v>
      </c>
      <c r="BG38" s="121">
        <f t="shared" si="17"/>
        <v>11</v>
      </c>
      <c r="BH38" s="121">
        <f t="shared" si="17"/>
        <v>11</v>
      </c>
      <c r="BI38" s="121">
        <f t="shared" si="17"/>
        <v>11</v>
      </c>
      <c r="BJ38" s="121">
        <f t="shared" si="17"/>
        <v>11</v>
      </c>
      <c r="BK38" s="121">
        <f t="shared" si="17"/>
        <v>11</v>
      </c>
      <c r="BL38" s="121">
        <f t="shared" si="17"/>
        <v>11</v>
      </c>
      <c r="BM38" s="121">
        <f t="shared" si="17"/>
        <v>11</v>
      </c>
      <c r="BN38" s="121">
        <f t="shared" si="17"/>
        <v>11</v>
      </c>
      <c r="BO38" s="121">
        <f t="shared" ref="BO38:BX38" si="19">SUM(BO39:BO42)</f>
        <v>11</v>
      </c>
      <c r="BP38" s="121">
        <f t="shared" si="19"/>
        <v>11</v>
      </c>
      <c r="BQ38" s="121">
        <f t="shared" si="19"/>
        <v>11</v>
      </c>
      <c r="BR38" s="121">
        <f t="shared" si="19"/>
        <v>11</v>
      </c>
      <c r="BS38" s="121">
        <f t="shared" si="19"/>
        <v>11</v>
      </c>
      <c r="BT38" s="121">
        <f t="shared" si="19"/>
        <v>11</v>
      </c>
      <c r="BU38" s="121">
        <f t="shared" si="19"/>
        <v>11</v>
      </c>
      <c r="BV38" s="121">
        <f t="shared" si="19"/>
        <v>11</v>
      </c>
      <c r="BW38" s="121">
        <f t="shared" si="19"/>
        <v>11</v>
      </c>
      <c r="BX38" s="121">
        <f t="shared" si="19"/>
        <v>11</v>
      </c>
    </row>
    <row r="39" spans="1:76" x14ac:dyDescent="0.25">
      <c r="A39" s="124" t="str">
        <f t="shared" si="0"/>
        <v xml:space="preserve">Администратор </v>
      </c>
      <c r="B39" s="122">
        <v>0</v>
      </c>
      <c r="C39" s="122">
        <v>0</v>
      </c>
      <c r="D39" s="122">
        <v>0</v>
      </c>
      <c r="E39" s="122">
        <v>0</v>
      </c>
      <c r="F39" s="122">
        <v>0</v>
      </c>
      <c r="G39" s="122">
        <v>0</v>
      </c>
      <c r="H39" s="122">
        <v>0</v>
      </c>
      <c r="I39" s="122">
        <v>0</v>
      </c>
      <c r="J39" s="122">
        <v>0</v>
      </c>
      <c r="K39" s="122">
        <f t="shared" ref="K39:M39" si="20">$B15</f>
        <v>4</v>
      </c>
      <c r="L39" s="122">
        <f t="shared" si="20"/>
        <v>4</v>
      </c>
      <c r="M39" s="122">
        <f t="shared" si="20"/>
        <v>4</v>
      </c>
      <c r="N39" s="122">
        <f t="shared" ref="N39:BN39" si="21">$B15</f>
        <v>4</v>
      </c>
      <c r="O39" s="122">
        <f t="shared" si="21"/>
        <v>4</v>
      </c>
      <c r="P39" s="122">
        <f t="shared" si="21"/>
        <v>4</v>
      </c>
      <c r="Q39" s="122">
        <f t="shared" si="21"/>
        <v>4</v>
      </c>
      <c r="R39" s="122">
        <f t="shared" si="21"/>
        <v>4</v>
      </c>
      <c r="S39" s="122">
        <f t="shared" si="21"/>
        <v>4</v>
      </c>
      <c r="T39" s="122">
        <f t="shared" si="21"/>
        <v>4</v>
      </c>
      <c r="U39" s="122">
        <f t="shared" si="21"/>
        <v>4</v>
      </c>
      <c r="V39" s="122">
        <f t="shared" si="21"/>
        <v>4</v>
      </c>
      <c r="W39" s="122">
        <f t="shared" si="21"/>
        <v>4</v>
      </c>
      <c r="X39" s="122">
        <f t="shared" si="21"/>
        <v>4</v>
      </c>
      <c r="Y39" s="122">
        <f t="shared" si="21"/>
        <v>4</v>
      </c>
      <c r="Z39" s="122">
        <f t="shared" si="21"/>
        <v>4</v>
      </c>
      <c r="AA39" s="122">
        <f t="shared" si="21"/>
        <v>4</v>
      </c>
      <c r="AB39" s="122">
        <f t="shared" si="21"/>
        <v>4</v>
      </c>
      <c r="AC39" s="122">
        <f t="shared" si="21"/>
        <v>4</v>
      </c>
      <c r="AD39" s="122">
        <f t="shared" si="21"/>
        <v>4</v>
      </c>
      <c r="AE39" s="122">
        <f t="shared" si="21"/>
        <v>4</v>
      </c>
      <c r="AF39" s="122">
        <f t="shared" si="21"/>
        <v>4</v>
      </c>
      <c r="AG39" s="122">
        <f t="shared" si="21"/>
        <v>4</v>
      </c>
      <c r="AH39" s="122">
        <f t="shared" si="21"/>
        <v>4</v>
      </c>
      <c r="AI39" s="122">
        <f t="shared" si="21"/>
        <v>4</v>
      </c>
      <c r="AJ39" s="122">
        <f t="shared" si="21"/>
        <v>4</v>
      </c>
      <c r="AK39" s="122">
        <f t="shared" si="21"/>
        <v>4</v>
      </c>
      <c r="AL39" s="122">
        <f t="shared" si="21"/>
        <v>4</v>
      </c>
      <c r="AM39" s="122">
        <f t="shared" si="21"/>
        <v>4</v>
      </c>
      <c r="AN39" s="122">
        <f t="shared" si="21"/>
        <v>4</v>
      </c>
      <c r="AO39" s="122">
        <f t="shared" si="21"/>
        <v>4</v>
      </c>
      <c r="AP39" s="122">
        <f t="shared" si="21"/>
        <v>4</v>
      </c>
      <c r="AQ39" s="122">
        <f t="shared" si="21"/>
        <v>4</v>
      </c>
      <c r="AR39" s="122">
        <f t="shared" si="21"/>
        <v>4</v>
      </c>
      <c r="AS39" s="122">
        <f t="shared" si="21"/>
        <v>4</v>
      </c>
      <c r="AT39" s="122">
        <f t="shared" si="21"/>
        <v>4</v>
      </c>
      <c r="AU39" s="122">
        <f t="shared" si="21"/>
        <v>4</v>
      </c>
      <c r="AV39" s="122">
        <f t="shared" si="21"/>
        <v>4</v>
      </c>
      <c r="AW39" s="122">
        <f t="shared" si="21"/>
        <v>4</v>
      </c>
      <c r="AX39" s="122">
        <f t="shared" si="21"/>
        <v>4</v>
      </c>
      <c r="AY39" s="122">
        <f t="shared" si="21"/>
        <v>4</v>
      </c>
      <c r="AZ39" s="122">
        <f t="shared" si="21"/>
        <v>4</v>
      </c>
      <c r="BA39" s="122">
        <f t="shared" si="21"/>
        <v>4</v>
      </c>
      <c r="BB39" s="122">
        <f t="shared" si="21"/>
        <v>4</v>
      </c>
      <c r="BC39" s="122">
        <f t="shared" si="21"/>
        <v>4</v>
      </c>
      <c r="BD39" s="122">
        <f t="shared" si="21"/>
        <v>4</v>
      </c>
      <c r="BE39" s="122">
        <f t="shared" si="21"/>
        <v>4</v>
      </c>
      <c r="BF39" s="122">
        <f t="shared" si="21"/>
        <v>4</v>
      </c>
      <c r="BG39" s="122">
        <f t="shared" si="21"/>
        <v>4</v>
      </c>
      <c r="BH39" s="122">
        <f t="shared" si="21"/>
        <v>4</v>
      </c>
      <c r="BI39" s="122">
        <f t="shared" si="21"/>
        <v>4</v>
      </c>
      <c r="BJ39" s="122">
        <f t="shared" si="21"/>
        <v>4</v>
      </c>
      <c r="BK39" s="122">
        <f t="shared" si="21"/>
        <v>4</v>
      </c>
      <c r="BL39" s="122">
        <f t="shared" si="21"/>
        <v>4</v>
      </c>
      <c r="BM39" s="122">
        <f t="shared" si="21"/>
        <v>4</v>
      </c>
      <c r="BN39" s="122">
        <f t="shared" si="21"/>
        <v>4</v>
      </c>
      <c r="BO39" s="122">
        <f t="shared" ref="BO39:BX39" si="22">$B15</f>
        <v>4</v>
      </c>
      <c r="BP39" s="122">
        <f t="shared" si="22"/>
        <v>4</v>
      </c>
      <c r="BQ39" s="122">
        <f t="shared" si="22"/>
        <v>4</v>
      </c>
      <c r="BR39" s="122">
        <f t="shared" si="22"/>
        <v>4</v>
      </c>
      <c r="BS39" s="122">
        <f t="shared" si="22"/>
        <v>4</v>
      </c>
      <c r="BT39" s="122">
        <f t="shared" si="22"/>
        <v>4</v>
      </c>
      <c r="BU39" s="122">
        <f t="shared" si="22"/>
        <v>4</v>
      </c>
      <c r="BV39" s="122">
        <f t="shared" si="22"/>
        <v>4</v>
      </c>
      <c r="BW39" s="122">
        <f t="shared" si="22"/>
        <v>4</v>
      </c>
      <c r="BX39" s="122">
        <f t="shared" si="22"/>
        <v>4</v>
      </c>
    </row>
    <row r="40" spans="1:76" x14ac:dyDescent="0.25">
      <c r="A40" s="124" t="str">
        <f t="shared" si="0"/>
        <v>Старшая горничная</v>
      </c>
      <c r="B40" s="122">
        <v>0</v>
      </c>
      <c r="C40" s="122">
        <v>0</v>
      </c>
      <c r="D40" s="122">
        <v>0</v>
      </c>
      <c r="E40" s="122">
        <v>0</v>
      </c>
      <c r="F40" s="122">
        <v>0</v>
      </c>
      <c r="G40" s="122">
        <v>0</v>
      </c>
      <c r="H40" s="122">
        <v>0</v>
      </c>
      <c r="I40" s="122">
        <v>0</v>
      </c>
      <c r="J40" s="122">
        <v>0</v>
      </c>
      <c r="K40" s="122">
        <f t="shared" ref="K40:M40" si="23">$B16</f>
        <v>1</v>
      </c>
      <c r="L40" s="122">
        <f t="shared" si="23"/>
        <v>1</v>
      </c>
      <c r="M40" s="122">
        <f t="shared" si="23"/>
        <v>1</v>
      </c>
      <c r="N40" s="122">
        <f t="shared" ref="N40:BN40" si="24">$B16</f>
        <v>1</v>
      </c>
      <c r="O40" s="122">
        <f t="shared" si="24"/>
        <v>1</v>
      </c>
      <c r="P40" s="122">
        <f t="shared" si="24"/>
        <v>1</v>
      </c>
      <c r="Q40" s="122">
        <f t="shared" si="24"/>
        <v>1</v>
      </c>
      <c r="R40" s="122">
        <f t="shared" si="24"/>
        <v>1</v>
      </c>
      <c r="S40" s="122">
        <f t="shared" si="24"/>
        <v>1</v>
      </c>
      <c r="T40" s="122">
        <f t="shared" si="24"/>
        <v>1</v>
      </c>
      <c r="U40" s="122">
        <f t="shared" si="24"/>
        <v>1</v>
      </c>
      <c r="V40" s="122">
        <f t="shared" si="24"/>
        <v>1</v>
      </c>
      <c r="W40" s="122">
        <f t="shared" si="24"/>
        <v>1</v>
      </c>
      <c r="X40" s="122">
        <f t="shared" si="24"/>
        <v>1</v>
      </c>
      <c r="Y40" s="122">
        <f t="shared" si="24"/>
        <v>1</v>
      </c>
      <c r="Z40" s="122">
        <f t="shared" si="24"/>
        <v>1</v>
      </c>
      <c r="AA40" s="122">
        <f t="shared" si="24"/>
        <v>1</v>
      </c>
      <c r="AB40" s="122">
        <f t="shared" si="24"/>
        <v>1</v>
      </c>
      <c r="AC40" s="122">
        <f t="shared" si="24"/>
        <v>1</v>
      </c>
      <c r="AD40" s="122">
        <f t="shared" si="24"/>
        <v>1</v>
      </c>
      <c r="AE40" s="122">
        <f t="shared" si="24"/>
        <v>1</v>
      </c>
      <c r="AF40" s="122">
        <f t="shared" si="24"/>
        <v>1</v>
      </c>
      <c r="AG40" s="122">
        <f t="shared" si="24"/>
        <v>1</v>
      </c>
      <c r="AH40" s="122">
        <f t="shared" si="24"/>
        <v>1</v>
      </c>
      <c r="AI40" s="122">
        <f t="shared" si="24"/>
        <v>1</v>
      </c>
      <c r="AJ40" s="122">
        <f t="shared" si="24"/>
        <v>1</v>
      </c>
      <c r="AK40" s="122">
        <f t="shared" si="24"/>
        <v>1</v>
      </c>
      <c r="AL40" s="122">
        <f t="shared" si="24"/>
        <v>1</v>
      </c>
      <c r="AM40" s="122">
        <f t="shared" si="24"/>
        <v>1</v>
      </c>
      <c r="AN40" s="122">
        <f t="shared" si="24"/>
        <v>1</v>
      </c>
      <c r="AO40" s="122">
        <f t="shared" si="24"/>
        <v>1</v>
      </c>
      <c r="AP40" s="122">
        <f t="shared" si="24"/>
        <v>1</v>
      </c>
      <c r="AQ40" s="122">
        <f t="shared" si="24"/>
        <v>1</v>
      </c>
      <c r="AR40" s="122">
        <f t="shared" si="24"/>
        <v>1</v>
      </c>
      <c r="AS40" s="122">
        <f t="shared" si="24"/>
        <v>1</v>
      </c>
      <c r="AT40" s="122">
        <f t="shared" si="24"/>
        <v>1</v>
      </c>
      <c r="AU40" s="122">
        <f t="shared" si="24"/>
        <v>1</v>
      </c>
      <c r="AV40" s="122">
        <f t="shared" si="24"/>
        <v>1</v>
      </c>
      <c r="AW40" s="122">
        <f t="shared" si="24"/>
        <v>1</v>
      </c>
      <c r="AX40" s="122">
        <f t="shared" si="24"/>
        <v>1</v>
      </c>
      <c r="AY40" s="122">
        <f t="shared" si="24"/>
        <v>1</v>
      </c>
      <c r="AZ40" s="122">
        <f t="shared" si="24"/>
        <v>1</v>
      </c>
      <c r="BA40" s="122">
        <f t="shared" si="24"/>
        <v>1</v>
      </c>
      <c r="BB40" s="122">
        <f t="shared" si="24"/>
        <v>1</v>
      </c>
      <c r="BC40" s="122">
        <f t="shared" si="24"/>
        <v>1</v>
      </c>
      <c r="BD40" s="122">
        <f t="shared" si="24"/>
        <v>1</v>
      </c>
      <c r="BE40" s="122">
        <f t="shared" si="24"/>
        <v>1</v>
      </c>
      <c r="BF40" s="122">
        <f t="shared" si="24"/>
        <v>1</v>
      </c>
      <c r="BG40" s="122">
        <f t="shared" si="24"/>
        <v>1</v>
      </c>
      <c r="BH40" s="122">
        <f t="shared" si="24"/>
        <v>1</v>
      </c>
      <c r="BI40" s="122">
        <f t="shared" si="24"/>
        <v>1</v>
      </c>
      <c r="BJ40" s="122">
        <f t="shared" si="24"/>
        <v>1</v>
      </c>
      <c r="BK40" s="122">
        <f t="shared" si="24"/>
        <v>1</v>
      </c>
      <c r="BL40" s="122">
        <f t="shared" si="24"/>
        <v>1</v>
      </c>
      <c r="BM40" s="122">
        <f t="shared" si="24"/>
        <v>1</v>
      </c>
      <c r="BN40" s="122">
        <f t="shared" si="24"/>
        <v>1</v>
      </c>
      <c r="BO40" s="122">
        <f t="shared" ref="BO40:BX40" si="25">$B16</f>
        <v>1</v>
      </c>
      <c r="BP40" s="122">
        <f t="shared" si="25"/>
        <v>1</v>
      </c>
      <c r="BQ40" s="122">
        <f t="shared" si="25"/>
        <v>1</v>
      </c>
      <c r="BR40" s="122">
        <f t="shared" si="25"/>
        <v>1</v>
      </c>
      <c r="BS40" s="122">
        <f t="shared" si="25"/>
        <v>1</v>
      </c>
      <c r="BT40" s="122">
        <f t="shared" si="25"/>
        <v>1</v>
      </c>
      <c r="BU40" s="122">
        <f t="shared" si="25"/>
        <v>1</v>
      </c>
      <c r="BV40" s="122">
        <f t="shared" si="25"/>
        <v>1</v>
      </c>
      <c r="BW40" s="122">
        <f t="shared" si="25"/>
        <v>1</v>
      </c>
      <c r="BX40" s="122">
        <f t="shared" si="25"/>
        <v>1</v>
      </c>
    </row>
    <row r="41" spans="1:76" x14ac:dyDescent="0.25">
      <c r="A41" s="124" t="str">
        <f t="shared" si="0"/>
        <v>Горничная</v>
      </c>
      <c r="B41" s="122">
        <v>0</v>
      </c>
      <c r="C41" s="122">
        <v>0</v>
      </c>
      <c r="D41" s="122">
        <v>0</v>
      </c>
      <c r="E41" s="122">
        <v>0</v>
      </c>
      <c r="F41" s="122">
        <v>0</v>
      </c>
      <c r="G41" s="122">
        <v>0</v>
      </c>
      <c r="H41" s="122">
        <v>0</v>
      </c>
      <c r="I41" s="122">
        <v>0</v>
      </c>
      <c r="J41" s="122">
        <v>0</v>
      </c>
      <c r="K41" s="122">
        <f t="shared" ref="K41:M41" si="26">$B17</f>
        <v>4</v>
      </c>
      <c r="L41" s="122">
        <f t="shared" si="26"/>
        <v>4</v>
      </c>
      <c r="M41" s="122">
        <f t="shared" si="26"/>
        <v>4</v>
      </c>
      <c r="N41" s="122">
        <f t="shared" ref="N41:BN41" si="27">$B17</f>
        <v>4</v>
      </c>
      <c r="O41" s="122">
        <f t="shared" si="27"/>
        <v>4</v>
      </c>
      <c r="P41" s="122">
        <f t="shared" si="27"/>
        <v>4</v>
      </c>
      <c r="Q41" s="122">
        <f t="shared" si="27"/>
        <v>4</v>
      </c>
      <c r="R41" s="122">
        <f t="shared" si="27"/>
        <v>4</v>
      </c>
      <c r="S41" s="122">
        <f t="shared" si="27"/>
        <v>4</v>
      </c>
      <c r="T41" s="122">
        <f t="shared" si="27"/>
        <v>4</v>
      </c>
      <c r="U41" s="122">
        <f t="shared" si="27"/>
        <v>4</v>
      </c>
      <c r="V41" s="122">
        <f t="shared" si="27"/>
        <v>4</v>
      </c>
      <c r="W41" s="122">
        <f t="shared" si="27"/>
        <v>4</v>
      </c>
      <c r="X41" s="122">
        <f t="shared" si="27"/>
        <v>4</v>
      </c>
      <c r="Y41" s="122">
        <f t="shared" si="27"/>
        <v>4</v>
      </c>
      <c r="Z41" s="122">
        <f t="shared" si="27"/>
        <v>4</v>
      </c>
      <c r="AA41" s="122">
        <f t="shared" si="27"/>
        <v>4</v>
      </c>
      <c r="AB41" s="122">
        <f t="shared" si="27"/>
        <v>4</v>
      </c>
      <c r="AC41" s="122">
        <f t="shared" si="27"/>
        <v>4</v>
      </c>
      <c r="AD41" s="122">
        <f t="shared" si="27"/>
        <v>4</v>
      </c>
      <c r="AE41" s="122">
        <f t="shared" si="27"/>
        <v>4</v>
      </c>
      <c r="AF41" s="122">
        <f t="shared" si="27"/>
        <v>4</v>
      </c>
      <c r="AG41" s="122">
        <f t="shared" si="27"/>
        <v>4</v>
      </c>
      <c r="AH41" s="122">
        <f t="shared" si="27"/>
        <v>4</v>
      </c>
      <c r="AI41" s="122">
        <f t="shared" si="27"/>
        <v>4</v>
      </c>
      <c r="AJ41" s="122">
        <f t="shared" si="27"/>
        <v>4</v>
      </c>
      <c r="AK41" s="122">
        <f t="shared" si="27"/>
        <v>4</v>
      </c>
      <c r="AL41" s="122">
        <f t="shared" si="27"/>
        <v>4</v>
      </c>
      <c r="AM41" s="122">
        <f t="shared" si="27"/>
        <v>4</v>
      </c>
      <c r="AN41" s="122">
        <f t="shared" si="27"/>
        <v>4</v>
      </c>
      <c r="AO41" s="122">
        <f t="shared" si="27"/>
        <v>4</v>
      </c>
      <c r="AP41" s="122">
        <f t="shared" si="27"/>
        <v>4</v>
      </c>
      <c r="AQ41" s="122">
        <f t="shared" si="27"/>
        <v>4</v>
      </c>
      <c r="AR41" s="122">
        <f t="shared" si="27"/>
        <v>4</v>
      </c>
      <c r="AS41" s="122">
        <f t="shared" si="27"/>
        <v>4</v>
      </c>
      <c r="AT41" s="122">
        <f t="shared" si="27"/>
        <v>4</v>
      </c>
      <c r="AU41" s="122">
        <f t="shared" si="27"/>
        <v>4</v>
      </c>
      <c r="AV41" s="122">
        <f t="shared" si="27"/>
        <v>4</v>
      </c>
      <c r="AW41" s="122">
        <f t="shared" si="27"/>
        <v>4</v>
      </c>
      <c r="AX41" s="122">
        <f t="shared" si="27"/>
        <v>4</v>
      </c>
      <c r="AY41" s="122">
        <f t="shared" si="27"/>
        <v>4</v>
      </c>
      <c r="AZ41" s="122">
        <f t="shared" si="27"/>
        <v>4</v>
      </c>
      <c r="BA41" s="122">
        <f t="shared" si="27"/>
        <v>4</v>
      </c>
      <c r="BB41" s="122">
        <f t="shared" si="27"/>
        <v>4</v>
      </c>
      <c r="BC41" s="122">
        <f t="shared" si="27"/>
        <v>4</v>
      </c>
      <c r="BD41" s="122">
        <f t="shared" si="27"/>
        <v>4</v>
      </c>
      <c r="BE41" s="122">
        <f t="shared" si="27"/>
        <v>4</v>
      </c>
      <c r="BF41" s="122">
        <f t="shared" si="27"/>
        <v>4</v>
      </c>
      <c r="BG41" s="122">
        <f t="shared" si="27"/>
        <v>4</v>
      </c>
      <c r="BH41" s="122">
        <f t="shared" si="27"/>
        <v>4</v>
      </c>
      <c r="BI41" s="122">
        <f t="shared" si="27"/>
        <v>4</v>
      </c>
      <c r="BJ41" s="122">
        <f t="shared" si="27"/>
        <v>4</v>
      </c>
      <c r="BK41" s="122">
        <f t="shared" si="27"/>
        <v>4</v>
      </c>
      <c r="BL41" s="122">
        <f t="shared" si="27"/>
        <v>4</v>
      </c>
      <c r="BM41" s="122">
        <f t="shared" si="27"/>
        <v>4</v>
      </c>
      <c r="BN41" s="122">
        <f t="shared" si="27"/>
        <v>4</v>
      </c>
      <c r="BO41" s="122">
        <f t="shared" ref="BO41:BX41" si="28">$B17</f>
        <v>4</v>
      </c>
      <c r="BP41" s="122">
        <f t="shared" si="28"/>
        <v>4</v>
      </c>
      <c r="BQ41" s="122">
        <f t="shared" si="28"/>
        <v>4</v>
      </c>
      <c r="BR41" s="122">
        <f t="shared" si="28"/>
        <v>4</v>
      </c>
      <c r="BS41" s="122">
        <f t="shared" si="28"/>
        <v>4</v>
      </c>
      <c r="BT41" s="122">
        <f t="shared" si="28"/>
        <v>4</v>
      </c>
      <c r="BU41" s="122">
        <f t="shared" si="28"/>
        <v>4</v>
      </c>
      <c r="BV41" s="122">
        <f t="shared" si="28"/>
        <v>4</v>
      </c>
      <c r="BW41" s="122">
        <f t="shared" si="28"/>
        <v>4</v>
      </c>
      <c r="BX41" s="122">
        <f t="shared" si="28"/>
        <v>4</v>
      </c>
    </row>
    <row r="42" spans="1:76" x14ac:dyDescent="0.25">
      <c r="A42" s="124" t="str">
        <f t="shared" si="0"/>
        <v>Хаус-менеджер</v>
      </c>
      <c r="B42" s="122">
        <v>0</v>
      </c>
      <c r="C42" s="122">
        <v>0</v>
      </c>
      <c r="D42" s="122">
        <v>0</v>
      </c>
      <c r="E42" s="122">
        <v>0</v>
      </c>
      <c r="F42" s="122">
        <v>0</v>
      </c>
      <c r="G42" s="122">
        <v>0</v>
      </c>
      <c r="H42" s="122">
        <v>0</v>
      </c>
      <c r="I42" s="122">
        <v>0</v>
      </c>
      <c r="J42" s="122">
        <v>0</v>
      </c>
      <c r="K42" s="122">
        <f t="shared" ref="K42:M42" si="29">$B18</f>
        <v>2</v>
      </c>
      <c r="L42" s="122">
        <f t="shared" si="29"/>
        <v>2</v>
      </c>
      <c r="M42" s="122">
        <f t="shared" si="29"/>
        <v>2</v>
      </c>
      <c r="N42" s="122">
        <f t="shared" ref="N42:BN42" si="30">$B18</f>
        <v>2</v>
      </c>
      <c r="O42" s="122">
        <f t="shared" si="30"/>
        <v>2</v>
      </c>
      <c r="P42" s="122">
        <f t="shared" si="30"/>
        <v>2</v>
      </c>
      <c r="Q42" s="122">
        <f t="shared" si="30"/>
        <v>2</v>
      </c>
      <c r="R42" s="122">
        <f t="shared" si="30"/>
        <v>2</v>
      </c>
      <c r="S42" s="122">
        <f t="shared" si="30"/>
        <v>2</v>
      </c>
      <c r="T42" s="122">
        <f t="shared" si="30"/>
        <v>2</v>
      </c>
      <c r="U42" s="122">
        <f t="shared" si="30"/>
        <v>2</v>
      </c>
      <c r="V42" s="122">
        <f t="shared" si="30"/>
        <v>2</v>
      </c>
      <c r="W42" s="122">
        <f t="shared" si="30"/>
        <v>2</v>
      </c>
      <c r="X42" s="122">
        <f t="shared" si="30"/>
        <v>2</v>
      </c>
      <c r="Y42" s="122">
        <f t="shared" si="30"/>
        <v>2</v>
      </c>
      <c r="Z42" s="122">
        <f t="shared" si="30"/>
        <v>2</v>
      </c>
      <c r="AA42" s="122">
        <f t="shared" si="30"/>
        <v>2</v>
      </c>
      <c r="AB42" s="122">
        <f t="shared" si="30"/>
        <v>2</v>
      </c>
      <c r="AC42" s="122">
        <f t="shared" si="30"/>
        <v>2</v>
      </c>
      <c r="AD42" s="122">
        <f t="shared" si="30"/>
        <v>2</v>
      </c>
      <c r="AE42" s="122">
        <f t="shared" si="30"/>
        <v>2</v>
      </c>
      <c r="AF42" s="122">
        <f t="shared" si="30"/>
        <v>2</v>
      </c>
      <c r="AG42" s="122">
        <f t="shared" si="30"/>
        <v>2</v>
      </c>
      <c r="AH42" s="122">
        <f t="shared" si="30"/>
        <v>2</v>
      </c>
      <c r="AI42" s="122">
        <f t="shared" si="30"/>
        <v>2</v>
      </c>
      <c r="AJ42" s="122">
        <f t="shared" si="30"/>
        <v>2</v>
      </c>
      <c r="AK42" s="122">
        <f t="shared" si="30"/>
        <v>2</v>
      </c>
      <c r="AL42" s="122">
        <f t="shared" si="30"/>
        <v>2</v>
      </c>
      <c r="AM42" s="122">
        <f t="shared" si="30"/>
        <v>2</v>
      </c>
      <c r="AN42" s="122">
        <f t="shared" si="30"/>
        <v>2</v>
      </c>
      <c r="AO42" s="122">
        <f t="shared" si="30"/>
        <v>2</v>
      </c>
      <c r="AP42" s="122">
        <f t="shared" si="30"/>
        <v>2</v>
      </c>
      <c r="AQ42" s="122">
        <f t="shared" si="30"/>
        <v>2</v>
      </c>
      <c r="AR42" s="122">
        <f t="shared" si="30"/>
        <v>2</v>
      </c>
      <c r="AS42" s="122">
        <f t="shared" si="30"/>
        <v>2</v>
      </c>
      <c r="AT42" s="122">
        <f t="shared" si="30"/>
        <v>2</v>
      </c>
      <c r="AU42" s="122">
        <f t="shared" si="30"/>
        <v>2</v>
      </c>
      <c r="AV42" s="122">
        <f t="shared" si="30"/>
        <v>2</v>
      </c>
      <c r="AW42" s="122">
        <f t="shared" si="30"/>
        <v>2</v>
      </c>
      <c r="AX42" s="122">
        <f t="shared" si="30"/>
        <v>2</v>
      </c>
      <c r="AY42" s="122">
        <f t="shared" si="30"/>
        <v>2</v>
      </c>
      <c r="AZ42" s="122">
        <f t="shared" si="30"/>
        <v>2</v>
      </c>
      <c r="BA42" s="122">
        <f t="shared" si="30"/>
        <v>2</v>
      </c>
      <c r="BB42" s="122">
        <f t="shared" si="30"/>
        <v>2</v>
      </c>
      <c r="BC42" s="122">
        <f t="shared" si="30"/>
        <v>2</v>
      </c>
      <c r="BD42" s="122">
        <f t="shared" si="30"/>
        <v>2</v>
      </c>
      <c r="BE42" s="122">
        <f t="shared" si="30"/>
        <v>2</v>
      </c>
      <c r="BF42" s="122">
        <f t="shared" si="30"/>
        <v>2</v>
      </c>
      <c r="BG42" s="122">
        <f t="shared" si="30"/>
        <v>2</v>
      </c>
      <c r="BH42" s="122">
        <f t="shared" si="30"/>
        <v>2</v>
      </c>
      <c r="BI42" s="122">
        <f t="shared" si="30"/>
        <v>2</v>
      </c>
      <c r="BJ42" s="122">
        <f t="shared" si="30"/>
        <v>2</v>
      </c>
      <c r="BK42" s="122">
        <f t="shared" si="30"/>
        <v>2</v>
      </c>
      <c r="BL42" s="122">
        <f t="shared" si="30"/>
        <v>2</v>
      </c>
      <c r="BM42" s="122">
        <f t="shared" si="30"/>
        <v>2</v>
      </c>
      <c r="BN42" s="122">
        <f t="shared" si="30"/>
        <v>2</v>
      </c>
      <c r="BO42" s="122">
        <f t="shared" ref="BO42:BX42" si="31">$B18</f>
        <v>2</v>
      </c>
      <c r="BP42" s="122">
        <f t="shared" si="31"/>
        <v>2</v>
      </c>
      <c r="BQ42" s="122">
        <f t="shared" si="31"/>
        <v>2</v>
      </c>
      <c r="BR42" s="122">
        <f t="shared" si="31"/>
        <v>2</v>
      </c>
      <c r="BS42" s="122">
        <f t="shared" si="31"/>
        <v>2</v>
      </c>
      <c r="BT42" s="122">
        <f t="shared" si="31"/>
        <v>2</v>
      </c>
      <c r="BU42" s="122">
        <f t="shared" si="31"/>
        <v>2</v>
      </c>
      <c r="BV42" s="122">
        <f t="shared" si="31"/>
        <v>2</v>
      </c>
      <c r="BW42" s="122">
        <f t="shared" si="31"/>
        <v>2</v>
      </c>
      <c r="BX42" s="122">
        <f t="shared" si="31"/>
        <v>2</v>
      </c>
    </row>
    <row r="43" spans="1:76" x14ac:dyDescent="0.25">
      <c r="A43" s="125" t="str">
        <f t="shared" si="0"/>
        <v>Ресторан</v>
      </c>
      <c r="B43" s="121">
        <f>SUM(B44:B47)</f>
        <v>0</v>
      </c>
      <c r="C43" s="121">
        <f t="shared" ref="C43:BN43" si="32">SUM(C44:C47)</f>
        <v>0</v>
      </c>
      <c r="D43" s="121">
        <f t="shared" si="32"/>
        <v>0</v>
      </c>
      <c r="E43" s="121">
        <f t="shared" si="32"/>
        <v>0</v>
      </c>
      <c r="F43" s="121">
        <f t="shared" si="32"/>
        <v>0</v>
      </c>
      <c r="G43" s="121">
        <f t="shared" si="32"/>
        <v>0</v>
      </c>
      <c r="H43" s="121">
        <f t="shared" si="32"/>
        <v>0</v>
      </c>
      <c r="I43" s="121">
        <f t="shared" si="32"/>
        <v>0</v>
      </c>
      <c r="J43" s="121">
        <f t="shared" ref="J43:M43" si="33">SUM(J44:J47)</f>
        <v>0</v>
      </c>
      <c r="K43" s="121">
        <f t="shared" si="33"/>
        <v>1</v>
      </c>
      <c r="L43" s="121">
        <f t="shared" si="33"/>
        <v>10</v>
      </c>
      <c r="M43" s="121">
        <f t="shared" si="33"/>
        <v>10</v>
      </c>
      <c r="N43" s="121">
        <f t="shared" si="32"/>
        <v>10</v>
      </c>
      <c r="O43" s="121">
        <f t="shared" si="32"/>
        <v>10</v>
      </c>
      <c r="P43" s="121">
        <f t="shared" si="32"/>
        <v>10</v>
      </c>
      <c r="Q43" s="121">
        <f t="shared" si="32"/>
        <v>10</v>
      </c>
      <c r="R43" s="121">
        <f t="shared" si="32"/>
        <v>10</v>
      </c>
      <c r="S43" s="121">
        <f t="shared" si="32"/>
        <v>10</v>
      </c>
      <c r="T43" s="121">
        <f t="shared" si="32"/>
        <v>10</v>
      </c>
      <c r="U43" s="121">
        <f t="shared" si="32"/>
        <v>10</v>
      </c>
      <c r="V43" s="121">
        <f t="shared" si="32"/>
        <v>10</v>
      </c>
      <c r="W43" s="121">
        <f t="shared" si="32"/>
        <v>10</v>
      </c>
      <c r="X43" s="121">
        <f t="shared" si="32"/>
        <v>10</v>
      </c>
      <c r="Y43" s="121">
        <f t="shared" si="32"/>
        <v>10</v>
      </c>
      <c r="Z43" s="121">
        <f t="shared" si="32"/>
        <v>10</v>
      </c>
      <c r="AA43" s="121">
        <f t="shared" si="32"/>
        <v>10</v>
      </c>
      <c r="AB43" s="121">
        <f t="shared" si="32"/>
        <v>10</v>
      </c>
      <c r="AC43" s="121">
        <f t="shared" si="32"/>
        <v>10</v>
      </c>
      <c r="AD43" s="121">
        <f t="shared" si="32"/>
        <v>10</v>
      </c>
      <c r="AE43" s="121">
        <f t="shared" si="32"/>
        <v>10</v>
      </c>
      <c r="AF43" s="121">
        <f t="shared" si="32"/>
        <v>10</v>
      </c>
      <c r="AG43" s="121">
        <f t="shared" si="32"/>
        <v>10</v>
      </c>
      <c r="AH43" s="121">
        <f t="shared" si="32"/>
        <v>10</v>
      </c>
      <c r="AI43" s="121">
        <f t="shared" si="32"/>
        <v>10</v>
      </c>
      <c r="AJ43" s="121">
        <f t="shared" si="32"/>
        <v>10</v>
      </c>
      <c r="AK43" s="121">
        <f t="shared" si="32"/>
        <v>10</v>
      </c>
      <c r="AL43" s="121">
        <f t="shared" si="32"/>
        <v>10</v>
      </c>
      <c r="AM43" s="121">
        <f t="shared" si="32"/>
        <v>10</v>
      </c>
      <c r="AN43" s="121">
        <f t="shared" si="32"/>
        <v>10</v>
      </c>
      <c r="AO43" s="121">
        <f t="shared" si="32"/>
        <v>10</v>
      </c>
      <c r="AP43" s="121">
        <f t="shared" si="32"/>
        <v>10</v>
      </c>
      <c r="AQ43" s="121">
        <f t="shared" si="32"/>
        <v>10</v>
      </c>
      <c r="AR43" s="121">
        <f t="shared" si="32"/>
        <v>10</v>
      </c>
      <c r="AS43" s="121">
        <f t="shared" si="32"/>
        <v>10</v>
      </c>
      <c r="AT43" s="121">
        <f t="shared" si="32"/>
        <v>10</v>
      </c>
      <c r="AU43" s="121">
        <f t="shared" si="32"/>
        <v>10</v>
      </c>
      <c r="AV43" s="121">
        <f t="shared" si="32"/>
        <v>10</v>
      </c>
      <c r="AW43" s="121">
        <f t="shared" si="32"/>
        <v>10</v>
      </c>
      <c r="AX43" s="121">
        <f t="shared" si="32"/>
        <v>10</v>
      </c>
      <c r="AY43" s="121">
        <f t="shared" si="32"/>
        <v>10</v>
      </c>
      <c r="AZ43" s="121">
        <f t="shared" si="32"/>
        <v>10</v>
      </c>
      <c r="BA43" s="121">
        <f t="shared" si="32"/>
        <v>10</v>
      </c>
      <c r="BB43" s="121">
        <f t="shared" si="32"/>
        <v>10</v>
      </c>
      <c r="BC43" s="121">
        <f t="shared" si="32"/>
        <v>10</v>
      </c>
      <c r="BD43" s="121">
        <f t="shared" si="32"/>
        <v>10</v>
      </c>
      <c r="BE43" s="121">
        <f t="shared" si="32"/>
        <v>10</v>
      </c>
      <c r="BF43" s="121">
        <f t="shared" si="32"/>
        <v>10</v>
      </c>
      <c r="BG43" s="121">
        <f t="shared" si="32"/>
        <v>10</v>
      </c>
      <c r="BH43" s="121">
        <f t="shared" si="32"/>
        <v>10</v>
      </c>
      <c r="BI43" s="121">
        <f t="shared" si="32"/>
        <v>10</v>
      </c>
      <c r="BJ43" s="121">
        <f t="shared" si="32"/>
        <v>10</v>
      </c>
      <c r="BK43" s="121">
        <f t="shared" si="32"/>
        <v>10</v>
      </c>
      <c r="BL43" s="121">
        <f t="shared" si="32"/>
        <v>10</v>
      </c>
      <c r="BM43" s="121">
        <f t="shared" si="32"/>
        <v>10</v>
      </c>
      <c r="BN43" s="121">
        <f t="shared" si="32"/>
        <v>10</v>
      </c>
      <c r="BO43" s="121">
        <f t="shared" ref="BO43:BX43" si="34">SUM(BO44:BO47)</f>
        <v>10</v>
      </c>
      <c r="BP43" s="121">
        <f t="shared" si="34"/>
        <v>10</v>
      </c>
      <c r="BQ43" s="121">
        <f t="shared" si="34"/>
        <v>10</v>
      </c>
      <c r="BR43" s="121">
        <f t="shared" si="34"/>
        <v>10</v>
      </c>
      <c r="BS43" s="121">
        <f t="shared" si="34"/>
        <v>10</v>
      </c>
      <c r="BT43" s="121">
        <f t="shared" si="34"/>
        <v>10</v>
      </c>
      <c r="BU43" s="121">
        <f t="shared" si="34"/>
        <v>10</v>
      </c>
      <c r="BV43" s="121">
        <f t="shared" si="34"/>
        <v>10</v>
      </c>
      <c r="BW43" s="121">
        <f t="shared" si="34"/>
        <v>10</v>
      </c>
      <c r="BX43" s="121">
        <f t="shared" si="34"/>
        <v>10</v>
      </c>
    </row>
    <row r="44" spans="1:76" x14ac:dyDescent="0.25">
      <c r="A44" s="124" t="str">
        <f t="shared" si="0"/>
        <v>Шеф-повар</v>
      </c>
      <c r="B44" s="122">
        <v>0</v>
      </c>
      <c r="C44" s="122">
        <v>0</v>
      </c>
      <c r="D44" s="122">
        <v>0</v>
      </c>
      <c r="E44" s="122">
        <v>0</v>
      </c>
      <c r="F44" s="122">
        <v>0</v>
      </c>
      <c r="G44" s="122">
        <v>0</v>
      </c>
      <c r="H44" s="122">
        <v>0</v>
      </c>
      <c r="I44" s="122">
        <v>0</v>
      </c>
      <c r="J44" s="122">
        <v>0</v>
      </c>
      <c r="K44" s="122">
        <f t="shared" ref="K44:M44" si="35">$B20</f>
        <v>1</v>
      </c>
      <c r="L44" s="122">
        <f t="shared" si="35"/>
        <v>1</v>
      </c>
      <c r="M44" s="122">
        <f t="shared" si="35"/>
        <v>1</v>
      </c>
      <c r="N44" s="122">
        <f t="shared" ref="N44:BN44" si="36">$B20</f>
        <v>1</v>
      </c>
      <c r="O44" s="122">
        <f t="shared" si="36"/>
        <v>1</v>
      </c>
      <c r="P44" s="122">
        <f t="shared" si="36"/>
        <v>1</v>
      </c>
      <c r="Q44" s="122">
        <f t="shared" si="36"/>
        <v>1</v>
      </c>
      <c r="R44" s="122">
        <f t="shared" si="36"/>
        <v>1</v>
      </c>
      <c r="S44" s="122">
        <f t="shared" si="36"/>
        <v>1</v>
      </c>
      <c r="T44" s="122">
        <f t="shared" si="36"/>
        <v>1</v>
      </c>
      <c r="U44" s="122">
        <f t="shared" si="36"/>
        <v>1</v>
      </c>
      <c r="V44" s="122">
        <f t="shared" si="36"/>
        <v>1</v>
      </c>
      <c r="W44" s="122">
        <f t="shared" si="36"/>
        <v>1</v>
      </c>
      <c r="X44" s="122">
        <f t="shared" si="36"/>
        <v>1</v>
      </c>
      <c r="Y44" s="122">
        <f t="shared" si="36"/>
        <v>1</v>
      </c>
      <c r="Z44" s="122">
        <f t="shared" si="36"/>
        <v>1</v>
      </c>
      <c r="AA44" s="122">
        <f t="shared" si="36"/>
        <v>1</v>
      </c>
      <c r="AB44" s="122">
        <f t="shared" si="36"/>
        <v>1</v>
      </c>
      <c r="AC44" s="122">
        <f t="shared" si="36"/>
        <v>1</v>
      </c>
      <c r="AD44" s="122">
        <f t="shared" si="36"/>
        <v>1</v>
      </c>
      <c r="AE44" s="122">
        <f t="shared" si="36"/>
        <v>1</v>
      </c>
      <c r="AF44" s="122">
        <f t="shared" si="36"/>
        <v>1</v>
      </c>
      <c r="AG44" s="122">
        <f t="shared" si="36"/>
        <v>1</v>
      </c>
      <c r="AH44" s="122">
        <f t="shared" si="36"/>
        <v>1</v>
      </c>
      <c r="AI44" s="122">
        <f t="shared" si="36"/>
        <v>1</v>
      </c>
      <c r="AJ44" s="122">
        <f t="shared" si="36"/>
        <v>1</v>
      </c>
      <c r="AK44" s="122">
        <f t="shared" si="36"/>
        <v>1</v>
      </c>
      <c r="AL44" s="122">
        <f t="shared" si="36"/>
        <v>1</v>
      </c>
      <c r="AM44" s="122">
        <f t="shared" si="36"/>
        <v>1</v>
      </c>
      <c r="AN44" s="122">
        <f t="shared" si="36"/>
        <v>1</v>
      </c>
      <c r="AO44" s="122">
        <f t="shared" si="36"/>
        <v>1</v>
      </c>
      <c r="AP44" s="122">
        <f t="shared" si="36"/>
        <v>1</v>
      </c>
      <c r="AQ44" s="122">
        <f t="shared" si="36"/>
        <v>1</v>
      </c>
      <c r="AR44" s="122">
        <f t="shared" si="36"/>
        <v>1</v>
      </c>
      <c r="AS44" s="122">
        <f t="shared" si="36"/>
        <v>1</v>
      </c>
      <c r="AT44" s="122">
        <f t="shared" si="36"/>
        <v>1</v>
      </c>
      <c r="AU44" s="122">
        <f t="shared" si="36"/>
        <v>1</v>
      </c>
      <c r="AV44" s="122">
        <f t="shared" si="36"/>
        <v>1</v>
      </c>
      <c r="AW44" s="122">
        <f t="shared" si="36"/>
        <v>1</v>
      </c>
      <c r="AX44" s="122">
        <f t="shared" si="36"/>
        <v>1</v>
      </c>
      <c r="AY44" s="122">
        <f t="shared" si="36"/>
        <v>1</v>
      </c>
      <c r="AZ44" s="122">
        <f t="shared" si="36"/>
        <v>1</v>
      </c>
      <c r="BA44" s="122">
        <f t="shared" si="36"/>
        <v>1</v>
      </c>
      <c r="BB44" s="122">
        <f t="shared" si="36"/>
        <v>1</v>
      </c>
      <c r="BC44" s="122">
        <f t="shared" si="36"/>
        <v>1</v>
      </c>
      <c r="BD44" s="122">
        <f t="shared" si="36"/>
        <v>1</v>
      </c>
      <c r="BE44" s="122">
        <f t="shared" si="36"/>
        <v>1</v>
      </c>
      <c r="BF44" s="122">
        <f t="shared" si="36"/>
        <v>1</v>
      </c>
      <c r="BG44" s="122">
        <f t="shared" si="36"/>
        <v>1</v>
      </c>
      <c r="BH44" s="122">
        <f t="shared" si="36"/>
        <v>1</v>
      </c>
      <c r="BI44" s="122">
        <f t="shared" si="36"/>
        <v>1</v>
      </c>
      <c r="BJ44" s="122">
        <f t="shared" si="36"/>
        <v>1</v>
      </c>
      <c r="BK44" s="122">
        <f t="shared" si="36"/>
        <v>1</v>
      </c>
      <c r="BL44" s="122">
        <f t="shared" si="36"/>
        <v>1</v>
      </c>
      <c r="BM44" s="122">
        <f t="shared" si="36"/>
        <v>1</v>
      </c>
      <c r="BN44" s="122">
        <f t="shared" si="36"/>
        <v>1</v>
      </c>
      <c r="BO44" s="122">
        <f t="shared" ref="BO44:BX44" si="37">$B20</f>
        <v>1</v>
      </c>
      <c r="BP44" s="122">
        <f t="shared" si="37"/>
        <v>1</v>
      </c>
      <c r="BQ44" s="122">
        <f t="shared" si="37"/>
        <v>1</v>
      </c>
      <c r="BR44" s="122">
        <f t="shared" si="37"/>
        <v>1</v>
      </c>
      <c r="BS44" s="122">
        <f t="shared" si="37"/>
        <v>1</v>
      </c>
      <c r="BT44" s="122">
        <f t="shared" si="37"/>
        <v>1</v>
      </c>
      <c r="BU44" s="122">
        <f t="shared" si="37"/>
        <v>1</v>
      </c>
      <c r="BV44" s="122">
        <f t="shared" si="37"/>
        <v>1</v>
      </c>
      <c r="BW44" s="122">
        <f t="shared" si="37"/>
        <v>1</v>
      </c>
      <c r="BX44" s="122">
        <f t="shared" si="37"/>
        <v>1</v>
      </c>
    </row>
    <row r="45" spans="1:76" x14ac:dyDescent="0.25">
      <c r="A45" s="124" t="str">
        <f t="shared" si="0"/>
        <v>Повар</v>
      </c>
      <c r="B45" s="122">
        <v>0</v>
      </c>
      <c r="C45" s="122">
        <v>0</v>
      </c>
      <c r="D45" s="122">
        <v>0</v>
      </c>
      <c r="E45" s="122">
        <v>0</v>
      </c>
      <c r="F45" s="122">
        <v>0</v>
      </c>
      <c r="G45" s="122">
        <v>0</v>
      </c>
      <c r="H45" s="122">
        <v>0</v>
      </c>
      <c r="I45" s="122">
        <v>0</v>
      </c>
      <c r="J45" s="122">
        <v>0</v>
      </c>
      <c r="K45" s="122">
        <v>0</v>
      </c>
      <c r="L45" s="122">
        <f t="shared" ref="L45:M45" si="38">$B21</f>
        <v>3</v>
      </c>
      <c r="M45" s="122">
        <f t="shared" si="38"/>
        <v>3</v>
      </c>
      <c r="N45" s="122">
        <f t="shared" ref="N45:BN45" si="39">$B21</f>
        <v>3</v>
      </c>
      <c r="O45" s="122">
        <f t="shared" si="39"/>
        <v>3</v>
      </c>
      <c r="P45" s="122">
        <f t="shared" si="39"/>
        <v>3</v>
      </c>
      <c r="Q45" s="122">
        <f t="shared" si="39"/>
        <v>3</v>
      </c>
      <c r="R45" s="122">
        <f t="shared" si="39"/>
        <v>3</v>
      </c>
      <c r="S45" s="122">
        <f t="shared" si="39"/>
        <v>3</v>
      </c>
      <c r="T45" s="122">
        <f t="shared" si="39"/>
        <v>3</v>
      </c>
      <c r="U45" s="122">
        <f t="shared" si="39"/>
        <v>3</v>
      </c>
      <c r="V45" s="122">
        <f t="shared" si="39"/>
        <v>3</v>
      </c>
      <c r="W45" s="122">
        <f t="shared" si="39"/>
        <v>3</v>
      </c>
      <c r="X45" s="122">
        <f t="shared" si="39"/>
        <v>3</v>
      </c>
      <c r="Y45" s="122">
        <f t="shared" si="39"/>
        <v>3</v>
      </c>
      <c r="Z45" s="122">
        <f t="shared" si="39"/>
        <v>3</v>
      </c>
      <c r="AA45" s="122">
        <f t="shared" si="39"/>
        <v>3</v>
      </c>
      <c r="AB45" s="122">
        <f t="shared" si="39"/>
        <v>3</v>
      </c>
      <c r="AC45" s="122">
        <f t="shared" si="39"/>
        <v>3</v>
      </c>
      <c r="AD45" s="122">
        <f t="shared" si="39"/>
        <v>3</v>
      </c>
      <c r="AE45" s="122">
        <f t="shared" si="39"/>
        <v>3</v>
      </c>
      <c r="AF45" s="122">
        <f t="shared" si="39"/>
        <v>3</v>
      </c>
      <c r="AG45" s="122">
        <f t="shared" si="39"/>
        <v>3</v>
      </c>
      <c r="AH45" s="122">
        <f t="shared" si="39"/>
        <v>3</v>
      </c>
      <c r="AI45" s="122">
        <f t="shared" si="39"/>
        <v>3</v>
      </c>
      <c r="AJ45" s="122">
        <f t="shared" si="39"/>
        <v>3</v>
      </c>
      <c r="AK45" s="122">
        <f t="shared" si="39"/>
        <v>3</v>
      </c>
      <c r="AL45" s="122">
        <f t="shared" si="39"/>
        <v>3</v>
      </c>
      <c r="AM45" s="122">
        <f t="shared" si="39"/>
        <v>3</v>
      </c>
      <c r="AN45" s="122">
        <f t="shared" si="39"/>
        <v>3</v>
      </c>
      <c r="AO45" s="122">
        <f t="shared" si="39"/>
        <v>3</v>
      </c>
      <c r="AP45" s="122">
        <f t="shared" si="39"/>
        <v>3</v>
      </c>
      <c r="AQ45" s="122">
        <f t="shared" si="39"/>
        <v>3</v>
      </c>
      <c r="AR45" s="122">
        <f t="shared" si="39"/>
        <v>3</v>
      </c>
      <c r="AS45" s="122">
        <f t="shared" si="39"/>
        <v>3</v>
      </c>
      <c r="AT45" s="122">
        <f t="shared" si="39"/>
        <v>3</v>
      </c>
      <c r="AU45" s="122">
        <f t="shared" si="39"/>
        <v>3</v>
      </c>
      <c r="AV45" s="122">
        <f t="shared" si="39"/>
        <v>3</v>
      </c>
      <c r="AW45" s="122">
        <f t="shared" si="39"/>
        <v>3</v>
      </c>
      <c r="AX45" s="122">
        <f t="shared" si="39"/>
        <v>3</v>
      </c>
      <c r="AY45" s="122">
        <f t="shared" si="39"/>
        <v>3</v>
      </c>
      <c r="AZ45" s="122">
        <f t="shared" si="39"/>
        <v>3</v>
      </c>
      <c r="BA45" s="122">
        <f t="shared" si="39"/>
        <v>3</v>
      </c>
      <c r="BB45" s="122">
        <f t="shared" si="39"/>
        <v>3</v>
      </c>
      <c r="BC45" s="122">
        <f t="shared" si="39"/>
        <v>3</v>
      </c>
      <c r="BD45" s="122">
        <f t="shared" si="39"/>
        <v>3</v>
      </c>
      <c r="BE45" s="122">
        <f t="shared" si="39"/>
        <v>3</v>
      </c>
      <c r="BF45" s="122">
        <f t="shared" si="39"/>
        <v>3</v>
      </c>
      <c r="BG45" s="122">
        <f t="shared" si="39"/>
        <v>3</v>
      </c>
      <c r="BH45" s="122">
        <f t="shared" si="39"/>
        <v>3</v>
      </c>
      <c r="BI45" s="122">
        <f t="shared" si="39"/>
        <v>3</v>
      </c>
      <c r="BJ45" s="122">
        <f t="shared" si="39"/>
        <v>3</v>
      </c>
      <c r="BK45" s="122">
        <f t="shared" si="39"/>
        <v>3</v>
      </c>
      <c r="BL45" s="122">
        <f t="shared" si="39"/>
        <v>3</v>
      </c>
      <c r="BM45" s="122">
        <f t="shared" si="39"/>
        <v>3</v>
      </c>
      <c r="BN45" s="122">
        <f t="shared" si="39"/>
        <v>3</v>
      </c>
      <c r="BO45" s="122">
        <f t="shared" ref="BO45:BX45" si="40">$B21</f>
        <v>3</v>
      </c>
      <c r="BP45" s="122">
        <f t="shared" si="40"/>
        <v>3</v>
      </c>
      <c r="BQ45" s="122">
        <f t="shared" si="40"/>
        <v>3</v>
      </c>
      <c r="BR45" s="122">
        <f t="shared" si="40"/>
        <v>3</v>
      </c>
      <c r="BS45" s="122">
        <f t="shared" si="40"/>
        <v>3</v>
      </c>
      <c r="BT45" s="122">
        <f t="shared" si="40"/>
        <v>3</v>
      </c>
      <c r="BU45" s="122">
        <f t="shared" si="40"/>
        <v>3</v>
      </c>
      <c r="BV45" s="122">
        <f t="shared" si="40"/>
        <v>3</v>
      </c>
      <c r="BW45" s="122">
        <f t="shared" si="40"/>
        <v>3</v>
      </c>
      <c r="BX45" s="122">
        <f t="shared" si="40"/>
        <v>3</v>
      </c>
    </row>
    <row r="46" spans="1:76" x14ac:dyDescent="0.25">
      <c r="A46" s="124" t="str">
        <f t="shared" si="0"/>
        <v>Администратор ресторана</v>
      </c>
      <c r="B46" s="122">
        <v>0</v>
      </c>
      <c r="C46" s="122">
        <v>0</v>
      </c>
      <c r="D46" s="122">
        <v>0</v>
      </c>
      <c r="E46" s="122">
        <v>0</v>
      </c>
      <c r="F46" s="122">
        <v>0</v>
      </c>
      <c r="G46" s="122">
        <v>0</v>
      </c>
      <c r="H46" s="122">
        <v>0</v>
      </c>
      <c r="I46" s="122">
        <v>0</v>
      </c>
      <c r="J46" s="122">
        <v>0</v>
      </c>
      <c r="K46" s="122">
        <v>0</v>
      </c>
      <c r="L46" s="122">
        <f t="shared" ref="L46:M46" si="41">$B22</f>
        <v>2</v>
      </c>
      <c r="M46" s="122">
        <f t="shared" si="41"/>
        <v>2</v>
      </c>
      <c r="N46" s="122">
        <f t="shared" ref="N46:BN46" si="42">$B22</f>
        <v>2</v>
      </c>
      <c r="O46" s="122">
        <f t="shared" si="42"/>
        <v>2</v>
      </c>
      <c r="P46" s="122">
        <f t="shared" si="42"/>
        <v>2</v>
      </c>
      <c r="Q46" s="122">
        <f t="shared" si="42"/>
        <v>2</v>
      </c>
      <c r="R46" s="122">
        <f t="shared" si="42"/>
        <v>2</v>
      </c>
      <c r="S46" s="122">
        <f t="shared" si="42"/>
        <v>2</v>
      </c>
      <c r="T46" s="122">
        <f t="shared" si="42"/>
        <v>2</v>
      </c>
      <c r="U46" s="122">
        <f t="shared" si="42"/>
        <v>2</v>
      </c>
      <c r="V46" s="122">
        <f t="shared" si="42"/>
        <v>2</v>
      </c>
      <c r="W46" s="122">
        <f t="shared" si="42"/>
        <v>2</v>
      </c>
      <c r="X46" s="122">
        <f t="shared" si="42"/>
        <v>2</v>
      </c>
      <c r="Y46" s="122">
        <f t="shared" si="42"/>
        <v>2</v>
      </c>
      <c r="Z46" s="122">
        <f t="shared" si="42"/>
        <v>2</v>
      </c>
      <c r="AA46" s="122">
        <f t="shared" si="42"/>
        <v>2</v>
      </c>
      <c r="AB46" s="122">
        <f t="shared" si="42"/>
        <v>2</v>
      </c>
      <c r="AC46" s="122">
        <f t="shared" si="42"/>
        <v>2</v>
      </c>
      <c r="AD46" s="122">
        <f t="shared" si="42"/>
        <v>2</v>
      </c>
      <c r="AE46" s="122">
        <f t="shared" si="42"/>
        <v>2</v>
      </c>
      <c r="AF46" s="122">
        <f t="shared" si="42"/>
        <v>2</v>
      </c>
      <c r="AG46" s="122">
        <f t="shared" si="42"/>
        <v>2</v>
      </c>
      <c r="AH46" s="122">
        <f t="shared" si="42"/>
        <v>2</v>
      </c>
      <c r="AI46" s="122">
        <f t="shared" si="42"/>
        <v>2</v>
      </c>
      <c r="AJ46" s="122">
        <f t="shared" si="42"/>
        <v>2</v>
      </c>
      <c r="AK46" s="122">
        <f t="shared" si="42"/>
        <v>2</v>
      </c>
      <c r="AL46" s="122">
        <f t="shared" si="42"/>
        <v>2</v>
      </c>
      <c r="AM46" s="122">
        <f t="shared" si="42"/>
        <v>2</v>
      </c>
      <c r="AN46" s="122">
        <f t="shared" si="42"/>
        <v>2</v>
      </c>
      <c r="AO46" s="122">
        <f t="shared" si="42"/>
        <v>2</v>
      </c>
      <c r="AP46" s="122">
        <f t="shared" si="42"/>
        <v>2</v>
      </c>
      <c r="AQ46" s="122">
        <f t="shared" si="42"/>
        <v>2</v>
      </c>
      <c r="AR46" s="122">
        <f t="shared" si="42"/>
        <v>2</v>
      </c>
      <c r="AS46" s="122">
        <f t="shared" si="42"/>
        <v>2</v>
      </c>
      <c r="AT46" s="122">
        <f t="shared" si="42"/>
        <v>2</v>
      </c>
      <c r="AU46" s="122">
        <f t="shared" si="42"/>
        <v>2</v>
      </c>
      <c r="AV46" s="122">
        <f t="shared" si="42"/>
        <v>2</v>
      </c>
      <c r="AW46" s="122">
        <f t="shared" si="42"/>
        <v>2</v>
      </c>
      <c r="AX46" s="122">
        <f t="shared" si="42"/>
        <v>2</v>
      </c>
      <c r="AY46" s="122">
        <f t="shared" si="42"/>
        <v>2</v>
      </c>
      <c r="AZ46" s="122">
        <f t="shared" si="42"/>
        <v>2</v>
      </c>
      <c r="BA46" s="122">
        <f t="shared" si="42"/>
        <v>2</v>
      </c>
      <c r="BB46" s="122">
        <f t="shared" si="42"/>
        <v>2</v>
      </c>
      <c r="BC46" s="122">
        <f t="shared" si="42"/>
        <v>2</v>
      </c>
      <c r="BD46" s="122">
        <f t="shared" si="42"/>
        <v>2</v>
      </c>
      <c r="BE46" s="122">
        <f t="shared" si="42"/>
        <v>2</v>
      </c>
      <c r="BF46" s="122">
        <f t="shared" si="42"/>
        <v>2</v>
      </c>
      <c r="BG46" s="122">
        <f t="shared" si="42"/>
        <v>2</v>
      </c>
      <c r="BH46" s="122">
        <f t="shared" si="42"/>
        <v>2</v>
      </c>
      <c r="BI46" s="122">
        <f t="shared" si="42"/>
        <v>2</v>
      </c>
      <c r="BJ46" s="122">
        <f t="shared" si="42"/>
        <v>2</v>
      </c>
      <c r="BK46" s="122">
        <f t="shared" si="42"/>
        <v>2</v>
      </c>
      <c r="BL46" s="122">
        <f t="shared" si="42"/>
        <v>2</v>
      </c>
      <c r="BM46" s="122">
        <f t="shared" si="42"/>
        <v>2</v>
      </c>
      <c r="BN46" s="122">
        <f t="shared" si="42"/>
        <v>2</v>
      </c>
      <c r="BO46" s="122">
        <f t="shared" ref="BO46:BX46" si="43">$B22</f>
        <v>2</v>
      </c>
      <c r="BP46" s="122">
        <f t="shared" si="43"/>
        <v>2</v>
      </c>
      <c r="BQ46" s="122">
        <f t="shared" si="43"/>
        <v>2</v>
      </c>
      <c r="BR46" s="122">
        <f t="shared" si="43"/>
        <v>2</v>
      </c>
      <c r="BS46" s="122">
        <f t="shared" si="43"/>
        <v>2</v>
      </c>
      <c r="BT46" s="122">
        <f t="shared" si="43"/>
        <v>2</v>
      </c>
      <c r="BU46" s="122">
        <f t="shared" si="43"/>
        <v>2</v>
      </c>
      <c r="BV46" s="122">
        <f t="shared" si="43"/>
        <v>2</v>
      </c>
      <c r="BW46" s="122">
        <f t="shared" si="43"/>
        <v>2</v>
      </c>
      <c r="BX46" s="122">
        <f t="shared" si="43"/>
        <v>2</v>
      </c>
    </row>
    <row r="47" spans="1:76" x14ac:dyDescent="0.25">
      <c r="A47" s="124" t="str">
        <f t="shared" si="0"/>
        <v>Официант/бариста</v>
      </c>
      <c r="B47" s="122">
        <v>0</v>
      </c>
      <c r="C47" s="122">
        <v>0</v>
      </c>
      <c r="D47" s="122">
        <v>0</v>
      </c>
      <c r="E47" s="122">
        <v>0</v>
      </c>
      <c r="F47" s="122">
        <v>0</v>
      </c>
      <c r="G47" s="122">
        <v>0</v>
      </c>
      <c r="H47" s="122">
        <v>0</v>
      </c>
      <c r="I47" s="122">
        <v>0</v>
      </c>
      <c r="J47" s="122">
        <v>0</v>
      </c>
      <c r="K47" s="122">
        <v>0</v>
      </c>
      <c r="L47" s="122">
        <f t="shared" ref="L47:M47" si="44">$B23</f>
        <v>4</v>
      </c>
      <c r="M47" s="122">
        <f t="shared" si="44"/>
        <v>4</v>
      </c>
      <c r="N47" s="122">
        <f t="shared" ref="N47:BN47" si="45">$B23</f>
        <v>4</v>
      </c>
      <c r="O47" s="122">
        <f t="shared" si="45"/>
        <v>4</v>
      </c>
      <c r="P47" s="122">
        <f t="shared" si="45"/>
        <v>4</v>
      </c>
      <c r="Q47" s="122">
        <f t="shared" si="45"/>
        <v>4</v>
      </c>
      <c r="R47" s="122">
        <f t="shared" si="45"/>
        <v>4</v>
      </c>
      <c r="S47" s="122">
        <f t="shared" si="45"/>
        <v>4</v>
      </c>
      <c r="T47" s="122">
        <f t="shared" si="45"/>
        <v>4</v>
      </c>
      <c r="U47" s="122">
        <f t="shared" si="45"/>
        <v>4</v>
      </c>
      <c r="V47" s="122">
        <f t="shared" si="45"/>
        <v>4</v>
      </c>
      <c r="W47" s="122">
        <f t="shared" si="45"/>
        <v>4</v>
      </c>
      <c r="X47" s="122">
        <f t="shared" si="45"/>
        <v>4</v>
      </c>
      <c r="Y47" s="122">
        <f t="shared" si="45"/>
        <v>4</v>
      </c>
      <c r="Z47" s="122">
        <f t="shared" si="45"/>
        <v>4</v>
      </c>
      <c r="AA47" s="122">
        <f t="shared" si="45"/>
        <v>4</v>
      </c>
      <c r="AB47" s="122">
        <f t="shared" si="45"/>
        <v>4</v>
      </c>
      <c r="AC47" s="122">
        <f t="shared" si="45"/>
        <v>4</v>
      </c>
      <c r="AD47" s="122">
        <f t="shared" si="45"/>
        <v>4</v>
      </c>
      <c r="AE47" s="122">
        <f t="shared" si="45"/>
        <v>4</v>
      </c>
      <c r="AF47" s="122">
        <f t="shared" si="45"/>
        <v>4</v>
      </c>
      <c r="AG47" s="122">
        <f t="shared" si="45"/>
        <v>4</v>
      </c>
      <c r="AH47" s="122">
        <f t="shared" si="45"/>
        <v>4</v>
      </c>
      <c r="AI47" s="122">
        <f t="shared" si="45"/>
        <v>4</v>
      </c>
      <c r="AJ47" s="122">
        <f t="shared" si="45"/>
        <v>4</v>
      </c>
      <c r="AK47" s="122">
        <f t="shared" si="45"/>
        <v>4</v>
      </c>
      <c r="AL47" s="122">
        <f t="shared" si="45"/>
        <v>4</v>
      </c>
      <c r="AM47" s="122">
        <f t="shared" si="45"/>
        <v>4</v>
      </c>
      <c r="AN47" s="122">
        <f t="shared" si="45"/>
        <v>4</v>
      </c>
      <c r="AO47" s="122">
        <f t="shared" si="45"/>
        <v>4</v>
      </c>
      <c r="AP47" s="122">
        <f t="shared" si="45"/>
        <v>4</v>
      </c>
      <c r="AQ47" s="122">
        <f t="shared" si="45"/>
        <v>4</v>
      </c>
      <c r="AR47" s="122">
        <f t="shared" si="45"/>
        <v>4</v>
      </c>
      <c r="AS47" s="122">
        <f t="shared" si="45"/>
        <v>4</v>
      </c>
      <c r="AT47" s="122">
        <f t="shared" si="45"/>
        <v>4</v>
      </c>
      <c r="AU47" s="122">
        <f t="shared" si="45"/>
        <v>4</v>
      </c>
      <c r="AV47" s="122">
        <f t="shared" si="45"/>
        <v>4</v>
      </c>
      <c r="AW47" s="122">
        <f t="shared" si="45"/>
        <v>4</v>
      </c>
      <c r="AX47" s="122">
        <f t="shared" si="45"/>
        <v>4</v>
      </c>
      <c r="AY47" s="122">
        <f t="shared" si="45"/>
        <v>4</v>
      </c>
      <c r="AZ47" s="122">
        <f t="shared" si="45"/>
        <v>4</v>
      </c>
      <c r="BA47" s="122">
        <f t="shared" si="45"/>
        <v>4</v>
      </c>
      <c r="BB47" s="122">
        <f t="shared" si="45"/>
        <v>4</v>
      </c>
      <c r="BC47" s="122">
        <f t="shared" si="45"/>
        <v>4</v>
      </c>
      <c r="BD47" s="122">
        <f t="shared" si="45"/>
        <v>4</v>
      </c>
      <c r="BE47" s="122">
        <f t="shared" si="45"/>
        <v>4</v>
      </c>
      <c r="BF47" s="122">
        <f t="shared" si="45"/>
        <v>4</v>
      </c>
      <c r="BG47" s="122">
        <f t="shared" si="45"/>
        <v>4</v>
      </c>
      <c r="BH47" s="122">
        <f t="shared" si="45"/>
        <v>4</v>
      </c>
      <c r="BI47" s="122">
        <f t="shared" si="45"/>
        <v>4</v>
      </c>
      <c r="BJ47" s="122">
        <f t="shared" si="45"/>
        <v>4</v>
      </c>
      <c r="BK47" s="122">
        <f t="shared" si="45"/>
        <v>4</v>
      </c>
      <c r="BL47" s="122">
        <f t="shared" si="45"/>
        <v>4</v>
      </c>
      <c r="BM47" s="122">
        <f t="shared" si="45"/>
        <v>4</v>
      </c>
      <c r="BN47" s="122">
        <f t="shared" si="45"/>
        <v>4</v>
      </c>
      <c r="BO47" s="122">
        <f t="shared" ref="BO47:BX47" si="46">$B23</f>
        <v>4</v>
      </c>
      <c r="BP47" s="122">
        <f t="shared" si="46"/>
        <v>4</v>
      </c>
      <c r="BQ47" s="122">
        <f t="shared" si="46"/>
        <v>4</v>
      </c>
      <c r="BR47" s="122">
        <f t="shared" si="46"/>
        <v>4</v>
      </c>
      <c r="BS47" s="122">
        <f t="shared" si="46"/>
        <v>4</v>
      </c>
      <c r="BT47" s="122">
        <f t="shared" si="46"/>
        <v>4</v>
      </c>
      <c r="BU47" s="122">
        <f t="shared" si="46"/>
        <v>4</v>
      </c>
      <c r="BV47" s="122">
        <f t="shared" si="46"/>
        <v>4</v>
      </c>
      <c r="BW47" s="122">
        <f t="shared" si="46"/>
        <v>4</v>
      </c>
      <c r="BX47" s="122">
        <f t="shared" si="46"/>
        <v>4</v>
      </c>
    </row>
    <row r="48" spans="1:76" x14ac:dyDescent="0.25">
      <c r="A48" s="125" t="str">
        <f t="shared" si="0"/>
        <v>Хоз. служба</v>
      </c>
      <c r="B48" s="121">
        <f>SUM(B49:B51)</f>
        <v>0</v>
      </c>
      <c r="C48" s="121">
        <f t="shared" ref="C48:BN48" si="47">SUM(C49:C51)</f>
        <v>0</v>
      </c>
      <c r="D48" s="121">
        <f t="shared" si="47"/>
        <v>0</v>
      </c>
      <c r="E48" s="121">
        <f t="shared" si="47"/>
        <v>0</v>
      </c>
      <c r="F48" s="121">
        <f t="shared" si="47"/>
        <v>0</v>
      </c>
      <c r="G48" s="121">
        <f t="shared" si="47"/>
        <v>0</v>
      </c>
      <c r="H48" s="121">
        <f t="shared" si="47"/>
        <v>0</v>
      </c>
      <c r="I48" s="121">
        <f t="shared" si="47"/>
        <v>0</v>
      </c>
      <c r="J48" s="121">
        <f t="shared" ref="J48:M48" si="48">SUM(J49:J51)</f>
        <v>0</v>
      </c>
      <c r="K48" s="121">
        <f t="shared" si="48"/>
        <v>0</v>
      </c>
      <c r="L48" s="121">
        <f t="shared" si="48"/>
        <v>6</v>
      </c>
      <c r="M48" s="121">
        <f t="shared" si="48"/>
        <v>6</v>
      </c>
      <c r="N48" s="121">
        <f t="shared" si="47"/>
        <v>6</v>
      </c>
      <c r="O48" s="121">
        <f t="shared" si="47"/>
        <v>6</v>
      </c>
      <c r="P48" s="121">
        <f t="shared" si="47"/>
        <v>6</v>
      </c>
      <c r="Q48" s="121">
        <f t="shared" si="47"/>
        <v>6</v>
      </c>
      <c r="R48" s="121">
        <f t="shared" si="47"/>
        <v>6</v>
      </c>
      <c r="S48" s="121">
        <f t="shared" si="47"/>
        <v>6</v>
      </c>
      <c r="T48" s="121">
        <f t="shared" si="47"/>
        <v>6</v>
      </c>
      <c r="U48" s="121">
        <f t="shared" si="47"/>
        <v>6</v>
      </c>
      <c r="V48" s="121">
        <f t="shared" si="47"/>
        <v>6</v>
      </c>
      <c r="W48" s="121">
        <f t="shared" si="47"/>
        <v>6</v>
      </c>
      <c r="X48" s="121">
        <f t="shared" si="47"/>
        <v>6</v>
      </c>
      <c r="Y48" s="121">
        <f t="shared" si="47"/>
        <v>6</v>
      </c>
      <c r="Z48" s="121">
        <f t="shared" si="47"/>
        <v>6</v>
      </c>
      <c r="AA48" s="121">
        <f t="shared" si="47"/>
        <v>6</v>
      </c>
      <c r="AB48" s="121">
        <f t="shared" si="47"/>
        <v>6</v>
      </c>
      <c r="AC48" s="121">
        <f t="shared" si="47"/>
        <v>6</v>
      </c>
      <c r="AD48" s="121">
        <f t="shared" si="47"/>
        <v>6</v>
      </c>
      <c r="AE48" s="121">
        <f t="shared" si="47"/>
        <v>6</v>
      </c>
      <c r="AF48" s="121">
        <f t="shared" si="47"/>
        <v>6</v>
      </c>
      <c r="AG48" s="121">
        <f t="shared" si="47"/>
        <v>6</v>
      </c>
      <c r="AH48" s="121">
        <f t="shared" si="47"/>
        <v>6</v>
      </c>
      <c r="AI48" s="121">
        <f t="shared" si="47"/>
        <v>6</v>
      </c>
      <c r="AJ48" s="121">
        <f t="shared" si="47"/>
        <v>6</v>
      </c>
      <c r="AK48" s="121">
        <f t="shared" si="47"/>
        <v>6</v>
      </c>
      <c r="AL48" s="121">
        <f t="shared" si="47"/>
        <v>6</v>
      </c>
      <c r="AM48" s="121">
        <f t="shared" si="47"/>
        <v>6</v>
      </c>
      <c r="AN48" s="121">
        <f t="shared" si="47"/>
        <v>6</v>
      </c>
      <c r="AO48" s="121">
        <f t="shared" si="47"/>
        <v>6</v>
      </c>
      <c r="AP48" s="121">
        <f t="shared" si="47"/>
        <v>6</v>
      </c>
      <c r="AQ48" s="121">
        <f t="shared" si="47"/>
        <v>6</v>
      </c>
      <c r="AR48" s="121">
        <f t="shared" si="47"/>
        <v>6</v>
      </c>
      <c r="AS48" s="121">
        <f t="shared" si="47"/>
        <v>6</v>
      </c>
      <c r="AT48" s="121">
        <f t="shared" si="47"/>
        <v>6</v>
      </c>
      <c r="AU48" s="121">
        <f t="shared" si="47"/>
        <v>6</v>
      </c>
      <c r="AV48" s="121">
        <f t="shared" si="47"/>
        <v>6</v>
      </c>
      <c r="AW48" s="121">
        <f t="shared" si="47"/>
        <v>6</v>
      </c>
      <c r="AX48" s="121">
        <f t="shared" si="47"/>
        <v>6</v>
      </c>
      <c r="AY48" s="121">
        <f t="shared" si="47"/>
        <v>6</v>
      </c>
      <c r="AZ48" s="121">
        <f t="shared" si="47"/>
        <v>6</v>
      </c>
      <c r="BA48" s="121">
        <f t="shared" si="47"/>
        <v>6</v>
      </c>
      <c r="BB48" s="121">
        <f t="shared" si="47"/>
        <v>6</v>
      </c>
      <c r="BC48" s="121">
        <f t="shared" si="47"/>
        <v>6</v>
      </c>
      <c r="BD48" s="121">
        <f t="shared" si="47"/>
        <v>6</v>
      </c>
      <c r="BE48" s="121">
        <f t="shared" si="47"/>
        <v>6</v>
      </c>
      <c r="BF48" s="121">
        <f t="shared" si="47"/>
        <v>6</v>
      </c>
      <c r="BG48" s="121">
        <f t="shared" si="47"/>
        <v>6</v>
      </c>
      <c r="BH48" s="121">
        <f t="shared" si="47"/>
        <v>6</v>
      </c>
      <c r="BI48" s="121">
        <f t="shared" si="47"/>
        <v>6</v>
      </c>
      <c r="BJ48" s="121">
        <f t="shared" si="47"/>
        <v>6</v>
      </c>
      <c r="BK48" s="121">
        <f t="shared" si="47"/>
        <v>6</v>
      </c>
      <c r="BL48" s="121">
        <f t="shared" si="47"/>
        <v>6</v>
      </c>
      <c r="BM48" s="121">
        <f t="shared" si="47"/>
        <v>6</v>
      </c>
      <c r="BN48" s="121">
        <f t="shared" si="47"/>
        <v>6</v>
      </c>
      <c r="BO48" s="121">
        <f t="shared" ref="BO48:BX48" si="49">SUM(BO49:BO51)</f>
        <v>6</v>
      </c>
      <c r="BP48" s="121">
        <f t="shared" si="49"/>
        <v>6</v>
      </c>
      <c r="BQ48" s="121">
        <f t="shared" si="49"/>
        <v>6</v>
      </c>
      <c r="BR48" s="121">
        <f t="shared" si="49"/>
        <v>6</v>
      </c>
      <c r="BS48" s="121">
        <f t="shared" si="49"/>
        <v>6</v>
      </c>
      <c r="BT48" s="121">
        <f t="shared" si="49"/>
        <v>6</v>
      </c>
      <c r="BU48" s="121">
        <f t="shared" si="49"/>
        <v>6</v>
      </c>
      <c r="BV48" s="121">
        <f t="shared" si="49"/>
        <v>6</v>
      </c>
      <c r="BW48" s="121">
        <f t="shared" si="49"/>
        <v>6</v>
      </c>
      <c r="BX48" s="121">
        <f t="shared" si="49"/>
        <v>6</v>
      </c>
    </row>
    <row r="49" spans="1:76" x14ac:dyDescent="0.25">
      <c r="A49" s="124" t="str">
        <f t="shared" si="0"/>
        <v>Администратор доп. услуг</v>
      </c>
      <c r="B49" s="122">
        <v>0</v>
      </c>
      <c r="C49" s="122">
        <v>0</v>
      </c>
      <c r="D49" s="122">
        <v>0</v>
      </c>
      <c r="E49" s="122">
        <v>0</v>
      </c>
      <c r="F49" s="122">
        <v>0</v>
      </c>
      <c r="G49" s="122">
        <v>0</v>
      </c>
      <c r="H49" s="122">
        <v>0</v>
      </c>
      <c r="I49" s="122">
        <v>0</v>
      </c>
      <c r="J49" s="122">
        <v>0</v>
      </c>
      <c r="K49" s="122">
        <v>0</v>
      </c>
      <c r="L49" s="122">
        <f t="shared" ref="L49:M49" si="50">$B25</f>
        <v>2</v>
      </c>
      <c r="M49" s="122">
        <f t="shared" si="50"/>
        <v>2</v>
      </c>
      <c r="N49" s="122">
        <f t="shared" ref="N49:BN49" si="51">$B25</f>
        <v>2</v>
      </c>
      <c r="O49" s="122">
        <f t="shared" si="51"/>
        <v>2</v>
      </c>
      <c r="P49" s="122">
        <f t="shared" si="51"/>
        <v>2</v>
      </c>
      <c r="Q49" s="122">
        <f t="shared" si="51"/>
        <v>2</v>
      </c>
      <c r="R49" s="122">
        <f t="shared" si="51"/>
        <v>2</v>
      </c>
      <c r="S49" s="122">
        <f t="shared" si="51"/>
        <v>2</v>
      </c>
      <c r="T49" s="122">
        <f t="shared" si="51"/>
        <v>2</v>
      </c>
      <c r="U49" s="122">
        <f t="shared" si="51"/>
        <v>2</v>
      </c>
      <c r="V49" s="122">
        <f t="shared" si="51"/>
        <v>2</v>
      </c>
      <c r="W49" s="122">
        <f t="shared" si="51"/>
        <v>2</v>
      </c>
      <c r="X49" s="122">
        <f t="shared" si="51"/>
        <v>2</v>
      </c>
      <c r="Y49" s="122">
        <f t="shared" si="51"/>
        <v>2</v>
      </c>
      <c r="Z49" s="122">
        <f t="shared" si="51"/>
        <v>2</v>
      </c>
      <c r="AA49" s="122">
        <f t="shared" si="51"/>
        <v>2</v>
      </c>
      <c r="AB49" s="122">
        <f t="shared" si="51"/>
        <v>2</v>
      </c>
      <c r="AC49" s="122">
        <f t="shared" si="51"/>
        <v>2</v>
      </c>
      <c r="AD49" s="122">
        <f t="shared" si="51"/>
        <v>2</v>
      </c>
      <c r="AE49" s="122">
        <f t="shared" si="51"/>
        <v>2</v>
      </c>
      <c r="AF49" s="122">
        <f t="shared" si="51"/>
        <v>2</v>
      </c>
      <c r="AG49" s="122">
        <f t="shared" si="51"/>
        <v>2</v>
      </c>
      <c r="AH49" s="122">
        <f t="shared" si="51"/>
        <v>2</v>
      </c>
      <c r="AI49" s="122">
        <f t="shared" si="51"/>
        <v>2</v>
      </c>
      <c r="AJ49" s="122">
        <f t="shared" si="51"/>
        <v>2</v>
      </c>
      <c r="AK49" s="122">
        <f t="shared" si="51"/>
        <v>2</v>
      </c>
      <c r="AL49" s="122">
        <f t="shared" si="51"/>
        <v>2</v>
      </c>
      <c r="AM49" s="122">
        <f t="shared" si="51"/>
        <v>2</v>
      </c>
      <c r="AN49" s="122">
        <f t="shared" si="51"/>
        <v>2</v>
      </c>
      <c r="AO49" s="122">
        <f t="shared" si="51"/>
        <v>2</v>
      </c>
      <c r="AP49" s="122">
        <f t="shared" si="51"/>
        <v>2</v>
      </c>
      <c r="AQ49" s="122">
        <f t="shared" si="51"/>
        <v>2</v>
      </c>
      <c r="AR49" s="122">
        <f t="shared" si="51"/>
        <v>2</v>
      </c>
      <c r="AS49" s="122">
        <f t="shared" si="51"/>
        <v>2</v>
      </c>
      <c r="AT49" s="122">
        <f t="shared" si="51"/>
        <v>2</v>
      </c>
      <c r="AU49" s="122">
        <f t="shared" si="51"/>
        <v>2</v>
      </c>
      <c r="AV49" s="122">
        <f t="shared" si="51"/>
        <v>2</v>
      </c>
      <c r="AW49" s="122">
        <f t="shared" si="51"/>
        <v>2</v>
      </c>
      <c r="AX49" s="122">
        <f t="shared" si="51"/>
        <v>2</v>
      </c>
      <c r="AY49" s="122">
        <f t="shared" si="51"/>
        <v>2</v>
      </c>
      <c r="AZ49" s="122">
        <f t="shared" si="51"/>
        <v>2</v>
      </c>
      <c r="BA49" s="122">
        <f t="shared" si="51"/>
        <v>2</v>
      </c>
      <c r="BB49" s="122">
        <f t="shared" si="51"/>
        <v>2</v>
      </c>
      <c r="BC49" s="122">
        <f t="shared" si="51"/>
        <v>2</v>
      </c>
      <c r="BD49" s="122">
        <f t="shared" si="51"/>
        <v>2</v>
      </c>
      <c r="BE49" s="122">
        <f t="shared" si="51"/>
        <v>2</v>
      </c>
      <c r="BF49" s="122">
        <f t="shared" si="51"/>
        <v>2</v>
      </c>
      <c r="BG49" s="122">
        <f t="shared" si="51"/>
        <v>2</v>
      </c>
      <c r="BH49" s="122">
        <f t="shared" si="51"/>
        <v>2</v>
      </c>
      <c r="BI49" s="122">
        <f t="shared" si="51"/>
        <v>2</v>
      </c>
      <c r="BJ49" s="122">
        <f t="shared" si="51"/>
        <v>2</v>
      </c>
      <c r="BK49" s="122">
        <f t="shared" si="51"/>
        <v>2</v>
      </c>
      <c r="BL49" s="122">
        <f t="shared" si="51"/>
        <v>2</v>
      </c>
      <c r="BM49" s="122">
        <f t="shared" si="51"/>
        <v>2</v>
      </c>
      <c r="BN49" s="122">
        <f t="shared" si="51"/>
        <v>2</v>
      </c>
      <c r="BO49" s="122">
        <f t="shared" ref="BO49:BX49" si="52">$B25</f>
        <v>2</v>
      </c>
      <c r="BP49" s="122">
        <f t="shared" si="52"/>
        <v>2</v>
      </c>
      <c r="BQ49" s="122">
        <f t="shared" si="52"/>
        <v>2</v>
      </c>
      <c r="BR49" s="122">
        <f t="shared" si="52"/>
        <v>2</v>
      </c>
      <c r="BS49" s="122">
        <f t="shared" si="52"/>
        <v>2</v>
      </c>
      <c r="BT49" s="122">
        <f t="shared" si="52"/>
        <v>2</v>
      </c>
      <c r="BU49" s="122">
        <f t="shared" si="52"/>
        <v>2</v>
      </c>
      <c r="BV49" s="122">
        <f t="shared" si="52"/>
        <v>2</v>
      </c>
      <c r="BW49" s="122">
        <f t="shared" si="52"/>
        <v>2</v>
      </c>
      <c r="BX49" s="122">
        <f t="shared" si="52"/>
        <v>2</v>
      </c>
    </row>
    <row r="50" spans="1:76" x14ac:dyDescent="0.25">
      <c r="A50" s="124" t="str">
        <f t="shared" si="0"/>
        <v>Подсобный рабочий</v>
      </c>
      <c r="B50" s="122">
        <v>0</v>
      </c>
      <c r="C50" s="122">
        <v>0</v>
      </c>
      <c r="D50" s="122">
        <v>0</v>
      </c>
      <c r="E50" s="122">
        <v>0</v>
      </c>
      <c r="F50" s="122">
        <v>0</v>
      </c>
      <c r="G50" s="122">
        <v>0</v>
      </c>
      <c r="H50" s="122">
        <v>0</v>
      </c>
      <c r="I50" s="122">
        <v>0</v>
      </c>
      <c r="J50" s="122">
        <v>0</v>
      </c>
      <c r="K50" s="122">
        <v>0</v>
      </c>
      <c r="L50" s="122">
        <f t="shared" ref="L50:M50" si="53">$B26</f>
        <v>2</v>
      </c>
      <c r="M50" s="122">
        <f t="shared" si="53"/>
        <v>2</v>
      </c>
      <c r="N50" s="122">
        <f t="shared" ref="N50:BN50" si="54">$B26</f>
        <v>2</v>
      </c>
      <c r="O50" s="122">
        <f t="shared" si="54"/>
        <v>2</v>
      </c>
      <c r="P50" s="122">
        <f t="shared" si="54"/>
        <v>2</v>
      </c>
      <c r="Q50" s="122">
        <f t="shared" si="54"/>
        <v>2</v>
      </c>
      <c r="R50" s="122">
        <f t="shared" si="54"/>
        <v>2</v>
      </c>
      <c r="S50" s="122">
        <f t="shared" si="54"/>
        <v>2</v>
      </c>
      <c r="T50" s="122">
        <f t="shared" si="54"/>
        <v>2</v>
      </c>
      <c r="U50" s="122">
        <f t="shared" si="54"/>
        <v>2</v>
      </c>
      <c r="V50" s="122">
        <f t="shared" si="54"/>
        <v>2</v>
      </c>
      <c r="W50" s="122">
        <f t="shared" si="54"/>
        <v>2</v>
      </c>
      <c r="X50" s="122">
        <f t="shared" si="54"/>
        <v>2</v>
      </c>
      <c r="Y50" s="122">
        <f t="shared" si="54"/>
        <v>2</v>
      </c>
      <c r="Z50" s="122">
        <f t="shared" si="54"/>
        <v>2</v>
      </c>
      <c r="AA50" s="122">
        <f t="shared" si="54"/>
        <v>2</v>
      </c>
      <c r="AB50" s="122">
        <f t="shared" si="54"/>
        <v>2</v>
      </c>
      <c r="AC50" s="122">
        <f t="shared" si="54"/>
        <v>2</v>
      </c>
      <c r="AD50" s="122">
        <f t="shared" si="54"/>
        <v>2</v>
      </c>
      <c r="AE50" s="122">
        <f t="shared" si="54"/>
        <v>2</v>
      </c>
      <c r="AF50" s="122">
        <f t="shared" si="54"/>
        <v>2</v>
      </c>
      <c r="AG50" s="122">
        <f t="shared" si="54"/>
        <v>2</v>
      </c>
      <c r="AH50" s="122">
        <f t="shared" si="54"/>
        <v>2</v>
      </c>
      <c r="AI50" s="122">
        <f t="shared" si="54"/>
        <v>2</v>
      </c>
      <c r="AJ50" s="122">
        <f t="shared" si="54"/>
        <v>2</v>
      </c>
      <c r="AK50" s="122">
        <f t="shared" si="54"/>
        <v>2</v>
      </c>
      <c r="AL50" s="122">
        <f t="shared" si="54"/>
        <v>2</v>
      </c>
      <c r="AM50" s="122">
        <f t="shared" si="54"/>
        <v>2</v>
      </c>
      <c r="AN50" s="122">
        <f t="shared" si="54"/>
        <v>2</v>
      </c>
      <c r="AO50" s="122">
        <f t="shared" si="54"/>
        <v>2</v>
      </c>
      <c r="AP50" s="122">
        <f t="shared" si="54"/>
        <v>2</v>
      </c>
      <c r="AQ50" s="122">
        <f t="shared" si="54"/>
        <v>2</v>
      </c>
      <c r="AR50" s="122">
        <f t="shared" si="54"/>
        <v>2</v>
      </c>
      <c r="AS50" s="122">
        <f t="shared" si="54"/>
        <v>2</v>
      </c>
      <c r="AT50" s="122">
        <f t="shared" si="54"/>
        <v>2</v>
      </c>
      <c r="AU50" s="122">
        <f t="shared" si="54"/>
        <v>2</v>
      </c>
      <c r="AV50" s="122">
        <f t="shared" si="54"/>
        <v>2</v>
      </c>
      <c r="AW50" s="122">
        <f t="shared" si="54"/>
        <v>2</v>
      </c>
      <c r="AX50" s="122">
        <f t="shared" si="54"/>
        <v>2</v>
      </c>
      <c r="AY50" s="122">
        <f t="shared" si="54"/>
        <v>2</v>
      </c>
      <c r="AZ50" s="122">
        <f t="shared" si="54"/>
        <v>2</v>
      </c>
      <c r="BA50" s="122">
        <f t="shared" si="54"/>
        <v>2</v>
      </c>
      <c r="BB50" s="122">
        <f t="shared" si="54"/>
        <v>2</v>
      </c>
      <c r="BC50" s="122">
        <f t="shared" si="54"/>
        <v>2</v>
      </c>
      <c r="BD50" s="122">
        <f t="shared" si="54"/>
        <v>2</v>
      </c>
      <c r="BE50" s="122">
        <f t="shared" si="54"/>
        <v>2</v>
      </c>
      <c r="BF50" s="122">
        <f t="shared" si="54"/>
        <v>2</v>
      </c>
      <c r="BG50" s="122">
        <f t="shared" si="54"/>
        <v>2</v>
      </c>
      <c r="BH50" s="122">
        <f t="shared" si="54"/>
        <v>2</v>
      </c>
      <c r="BI50" s="122">
        <f t="shared" si="54"/>
        <v>2</v>
      </c>
      <c r="BJ50" s="122">
        <f t="shared" si="54"/>
        <v>2</v>
      </c>
      <c r="BK50" s="122">
        <f t="shared" si="54"/>
        <v>2</v>
      </c>
      <c r="BL50" s="122">
        <f t="shared" si="54"/>
        <v>2</v>
      </c>
      <c r="BM50" s="122">
        <f t="shared" si="54"/>
        <v>2</v>
      </c>
      <c r="BN50" s="122">
        <f t="shared" si="54"/>
        <v>2</v>
      </c>
      <c r="BO50" s="122">
        <f t="shared" ref="BO50:BX50" si="55">$B26</f>
        <v>2</v>
      </c>
      <c r="BP50" s="122">
        <f t="shared" si="55"/>
        <v>2</v>
      </c>
      <c r="BQ50" s="122">
        <f t="shared" si="55"/>
        <v>2</v>
      </c>
      <c r="BR50" s="122">
        <f t="shared" si="55"/>
        <v>2</v>
      </c>
      <c r="BS50" s="122">
        <f t="shared" si="55"/>
        <v>2</v>
      </c>
      <c r="BT50" s="122">
        <f t="shared" si="55"/>
        <v>2</v>
      </c>
      <c r="BU50" s="122">
        <f t="shared" si="55"/>
        <v>2</v>
      </c>
      <c r="BV50" s="122">
        <f t="shared" si="55"/>
        <v>2</v>
      </c>
      <c r="BW50" s="122">
        <f t="shared" si="55"/>
        <v>2</v>
      </c>
      <c r="BX50" s="122">
        <f t="shared" si="55"/>
        <v>2</v>
      </c>
    </row>
    <row r="51" spans="1:76" x14ac:dyDescent="0.25">
      <c r="A51" s="124" t="str">
        <f t="shared" si="0"/>
        <v>Уборщик территории</v>
      </c>
      <c r="B51" s="122">
        <v>0</v>
      </c>
      <c r="C51" s="122">
        <v>0</v>
      </c>
      <c r="D51" s="122">
        <v>0</v>
      </c>
      <c r="E51" s="122">
        <v>0</v>
      </c>
      <c r="F51" s="122">
        <v>0</v>
      </c>
      <c r="G51" s="122">
        <v>0</v>
      </c>
      <c r="H51" s="122">
        <v>0</v>
      </c>
      <c r="I51" s="122">
        <v>0</v>
      </c>
      <c r="J51" s="122">
        <v>0</v>
      </c>
      <c r="K51" s="122">
        <v>0</v>
      </c>
      <c r="L51" s="122">
        <f t="shared" ref="L51:M51" si="56">$B27</f>
        <v>2</v>
      </c>
      <c r="M51" s="122">
        <f t="shared" si="56"/>
        <v>2</v>
      </c>
      <c r="N51" s="122">
        <f t="shared" ref="N51:BN51" si="57">$B27</f>
        <v>2</v>
      </c>
      <c r="O51" s="122">
        <f t="shared" si="57"/>
        <v>2</v>
      </c>
      <c r="P51" s="122">
        <f t="shared" si="57"/>
        <v>2</v>
      </c>
      <c r="Q51" s="122">
        <f t="shared" si="57"/>
        <v>2</v>
      </c>
      <c r="R51" s="122">
        <f t="shared" si="57"/>
        <v>2</v>
      </c>
      <c r="S51" s="122">
        <f t="shared" si="57"/>
        <v>2</v>
      </c>
      <c r="T51" s="122">
        <f t="shared" si="57"/>
        <v>2</v>
      </c>
      <c r="U51" s="122">
        <f t="shared" si="57"/>
        <v>2</v>
      </c>
      <c r="V51" s="122">
        <f t="shared" si="57"/>
        <v>2</v>
      </c>
      <c r="W51" s="122">
        <f t="shared" si="57"/>
        <v>2</v>
      </c>
      <c r="X51" s="122">
        <f t="shared" si="57"/>
        <v>2</v>
      </c>
      <c r="Y51" s="122">
        <f t="shared" si="57"/>
        <v>2</v>
      </c>
      <c r="Z51" s="122">
        <f t="shared" si="57"/>
        <v>2</v>
      </c>
      <c r="AA51" s="122">
        <f t="shared" si="57"/>
        <v>2</v>
      </c>
      <c r="AB51" s="122">
        <f t="shared" si="57"/>
        <v>2</v>
      </c>
      <c r="AC51" s="122">
        <f t="shared" si="57"/>
        <v>2</v>
      </c>
      <c r="AD51" s="122">
        <f t="shared" si="57"/>
        <v>2</v>
      </c>
      <c r="AE51" s="122">
        <f t="shared" si="57"/>
        <v>2</v>
      </c>
      <c r="AF51" s="122">
        <f t="shared" si="57"/>
        <v>2</v>
      </c>
      <c r="AG51" s="122">
        <f t="shared" si="57"/>
        <v>2</v>
      </c>
      <c r="AH51" s="122">
        <f t="shared" si="57"/>
        <v>2</v>
      </c>
      <c r="AI51" s="122">
        <f t="shared" si="57"/>
        <v>2</v>
      </c>
      <c r="AJ51" s="122">
        <f t="shared" si="57"/>
        <v>2</v>
      </c>
      <c r="AK51" s="122">
        <f t="shared" si="57"/>
        <v>2</v>
      </c>
      <c r="AL51" s="122">
        <f t="shared" si="57"/>
        <v>2</v>
      </c>
      <c r="AM51" s="122">
        <f t="shared" si="57"/>
        <v>2</v>
      </c>
      <c r="AN51" s="122">
        <f t="shared" si="57"/>
        <v>2</v>
      </c>
      <c r="AO51" s="122">
        <f t="shared" si="57"/>
        <v>2</v>
      </c>
      <c r="AP51" s="122">
        <f t="shared" si="57"/>
        <v>2</v>
      </c>
      <c r="AQ51" s="122">
        <f t="shared" si="57"/>
        <v>2</v>
      </c>
      <c r="AR51" s="122">
        <f t="shared" si="57"/>
        <v>2</v>
      </c>
      <c r="AS51" s="122">
        <f t="shared" si="57"/>
        <v>2</v>
      </c>
      <c r="AT51" s="122">
        <f t="shared" si="57"/>
        <v>2</v>
      </c>
      <c r="AU51" s="122">
        <f t="shared" si="57"/>
        <v>2</v>
      </c>
      <c r="AV51" s="122">
        <f t="shared" si="57"/>
        <v>2</v>
      </c>
      <c r="AW51" s="122">
        <f t="shared" si="57"/>
        <v>2</v>
      </c>
      <c r="AX51" s="122">
        <f t="shared" si="57"/>
        <v>2</v>
      </c>
      <c r="AY51" s="122">
        <f t="shared" si="57"/>
        <v>2</v>
      </c>
      <c r="AZ51" s="122">
        <f t="shared" si="57"/>
        <v>2</v>
      </c>
      <c r="BA51" s="122">
        <f t="shared" si="57"/>
        <v>2</v>
      </c>
      <c r="BB51" s="122">
        <f t="shared" si="57"/>
        <v>2</v>
      </c>
      <c r="BC51" s="122">
        <f t="shared" si="57"/>
        <v>2</v>
      </c>
      <c r="BD51" s="122">
        <f t="shared" si="57"/>
        <v>2</v>
      </c>
      <c r="BE51" s="122">
        <f t="shared" si="57"/>
        <v>2</v>
      </c>
      <c r="BF51" s="122">
        <f t="shared" si="57"/>
        <v>2</v>
      </c>
      <c r="BG51" s="122">
        <f t="shared" si="57"/>
        <v>2</v>
      </c>
      <c r="BH51" s="122">
        <f t="shared" si="57"/>
        <v>2</v>
      </c>
      <c r="BI51" s="122">
        <f t="shared" si="57"/>
        <v>2</v>
      </c>
      <c r="BJ51" s="122">
        <f t="shared" si="57"/>
        <v>2</v>
      </c>
      <c r="BK51" s="122">
        <f t="shared" si="57"/>
        <v>2</v>
      </c>
      <c r="BL51" s="122">
        <f t="shared" si="57"/>
        <v>2</v>
      </c>
      <c r="BM51" s="122">
        <f t="shared" si="57"/>
        <v>2</v>
      </c>
      <c r="BN51" s="122">
        <f t="shared" si="57"/>
        <v>2</v>
      </c>
      <c r="BO51" s="122">
        <f t="shared" ref="BO51:BX51" si="58">$B27</f>
        <v>2</v>
      </c>
      <c r="BP51" s="122">
        <f t="shared" si="58"/>
        <v>2</v>
      </c>
      <c r="BQ51" s="122">
        <f t="shared" si="58"/>
        <v>2</v>
      </c>
      <c r="BR51" s="122">
        <f t="shared" si="58"/>
        <v>2</v>
      </c>
      <c r="BS51" s="122">
        <f t="shared" si="58"/>
        <v>2</v>
      </c>
      <c r="BT51" s="122">
        <f t="shared" si="58"/>
        <v>2</v>
      </c>
      <c r="BU51" s="122">
        <f t="shared" si="58"/>
        <v>2</v>
      </c>
      <c r="BV51" s="122">
        <f t="shared" si="58"/>
        <v>2</v>
      </c>
      <c r="BW51" s="122">
        <f t="shared" si="58"/>
        <v>2</v>
      </c>
      <c r="BX51" s="122">
        <f t="shared" si="58"/>
        <v>2</v>
      </c>
    </row>
    <row r="52" spans="1:76" x14ac:dyDescent="0.25">
      <c r="A52" s="125" t="s">
        <v>114</v>
      </c>
      <c r="B52" s="121">
        <f>B33+B38+B43+B48</f>
        <v>1</v>
      </c>
      <c r="C52" s="121">
        <f t="shared" ref="C52:BN52" si="59">C33+C38+C43+C48</f>
        <v>1</v>
      </c>
      <c r="D52" s="121">
        <f t="shared" si="59"/>
        <v>1</v>
      </c>
      <c r="E52" s="121">
        <f t="shared" si="59"/>
        <v>1</v>
      </c>
      <c r="F52" s="121">
        <f t="shared" si="59"/>
        <v>1</v>
      </c>
      <c r="G52" s="121">
        <f t="shared" si="59"/>
        <v>1</v>
      </c>
      <c r="H52" s="121">
        <f t="shared" si="59"/>
        <v>1</v>
      </c>
      <c r="I52" s="121">
        <f t="shared" si="59"/>
        <v>1</v>
      </c>
      <c r="J52" s="121">
        <f t="shared" ref="J52:M52" si="60">J33+J38+J43+J48</f>
        <v>4</v>
      </c>
      <c r="K52" s="121">
        <f t="shared" si="60"/>
        <v>17</v>
      </c>
      <c r="L52" s="121">
        <f t="shared" si="60"/>
        <v>32</v>
      </c>
      <c r="M52" s="121">
        <f t="shared" si="60"/>
        <v>32</v>
      </c>
      <c r="N52" s="121">
        <f t="shared" si="59"/>
        <v>32</v>
      </c>
      <c r="O52" s="121">
        <f t="shared" si="59"/>
        <v>32</v>
      </c>
      <c r="P52" s="121">
        <f t="shared" si="59"/>
        <v>32</v>
      </c>
      <c r="Q52" s="121">
        <f t="shared" si="59"/>
        <v>32</v>
      </c>
      <c r="R52" s="121">
        <f t="shared" si="59"/>
        <v>32</v>
      </c>
      <c r="S52" s="121">
        <f t="shared" si="59"/>
        <v>32</v>
      </c>
      <c r="T52" s="121">
        <f t="shared" si="59"/>
        <v>32</v>
      </c>
      <c r="U52" s="121">
        <f t="shared" si="59"/>
        <v>32</v>
      </c>
      <c r="V52" s="121">
        <f t="shared" si="59"/>
        <v>32</v>
      </c>
      <c r="W52" s="121">
        <f t="shared" si="59"/>
        <v>32</v>
      </c>
      <c r="X52" s="121">
        <f t="shared" si="59"/>
        <v>32</v>
      </c>
      <c r="Y52" s="121">
        <f t="shared" si="59"/>
        <v>32</v>
      </c>
      <c r="Z52" s="121">
        <f t="shared" si="59"/>
        <v>32</v>
      </c>
      <c r="AA52" s="121">
        <f t="shared" si="59"/>
        <v>32</v>
      </c>
      <c r="AB52" s="121">
        <f t="shared" si="59"/>
        <v>32</v>
      </c>
      <c r="AC52" s="121">
        <f t="shared" si="59"/>
        <v>32</v>
      </c>
      <c r="AD52" s="121">
        <f t="shared" si="59"/>
        <v>32</v>
      </c>
      <c r="AE52" s="121">
        <f t="shared" si="59"/>
        <v>32</v>
      </c>
      <c r="AF52" s="121">
        <f t="shared" si="59"/>
        <v>32</v>
      </c>
      <c r="AG52" s="121">
        <f t="shared" si="59"/>
        <v>32</v>
      </c>
      <c r="AH52" s="121">
        <f t="shared" si="59"/>
        <v>32</v>
      </c>
      <c r="AI52" s="121">
        <f t="shared" si="59"/>
        <v>32</v>
      </c>
      <c r="AJ52" s="121">
        <f t="shared" si="59"/>
        <v>32</v>
      </c>
      <c r="AK52" s="121">
        <f t="shared" si="59"/>
        <v>32</v>
      </c>
      <c r="AL52" s="121">
        <f t="shared" si="59"/>
        <v>32</v>
      </c>
      <c r="AM52" s="121">
        <f t="shared" si="59"/>
        <v>32</v>
      </c>
      <c r="AN52" s="121">
        <f t="shared" si="59"/>
        <v>32</v>
      </c>
      <c r="AO52" s="121">
        <f t="shared" si="59"/>
        <v>32</v>
      </c>
      <c r="AP52" s="121">
        <f t="shared" si="59"/>
        <v>32</v>
      </c>
      <c r="AQ52" s="121">
        <f t="shared" si="59"/>
        <v>32</v>
      </c>
      <c r="AR52" s="121">
        <f t="shared" si="59"/>
        <v>32</v>
      </c>
      <c r="AS52" s="121">
        <f t="shared" si="59"/>
        <v>32</v>
      </c>
      <c r="AT52" s="121">
        <f t="shared" si="59"/>
        <v>32</v>
      </c>
      <c r="AU52" s="121">
        <f t="shared" si="59"/>
        <v>32</v>
      </c>
      <c r="AV52" s="121">
        <f t="shared" si="59"/>
        <v>32</v>
      </c>
      <c r="AW52" s="121">
        <f t="shared" si="59"/>
        <v>32</v>
      </c>
      <c r="AX52" s="121">
        <f t="shared" si="59"/>
        <v>32</v>
      </c>
      <c r="AY52" s="121">
        <f t="shared" si="59"/>
        <v>32</v>
      </c>
      <c r="AZ52" s="121">
        <f t="shared" si="59"/>
        <v>32</v>
      </c>
      <c r="BA52" s="121">
        <f t="shared" si="59"/>
        <v>32</v>
      </c>
      <c r="BB52" s="121">
        <f t="shared" si="59"/>
        <v>32</v>
      </c>
      <c r="BC52" s="121">
        <f t="shared" si="59"/>
        <v>32</v>
      </c>
      <c r="BD52" s="121">
        <f t="shared" si="59"/>
        <v>32</v>
      </c>
      <c r="BE52" s="121">
        <f t="shared" si="59"/>
        <v>32</v>
      </c>
      <c r="BF52" s="121">
        <f t="shared" si="59"/>
        <v>32</v>
      </c>
      <c r="BG52" s="121">
        <f t="shared" si="59"/>
        <v>32</v>
      </c>
      <c r="BH52" s="121">
        <f t="shared" si="59"/>
        <v>32</v>
      </c>
      <c r="BI52" s="121">
        <f t="shared" si="59"/>
        <v>32</v>
      </c>
      <c r="BJ52" s="121">
        <f t="shared" si="59"/>
        <v>32</v>
      </c>
      <c r="BK52" s="121">
        <f t="shared" si="59"/>
        <v>32</v>
      </c>
      <c r="BL52" s="121">
        <f t="shared" si="59"/>
        <v>32</v>
      </c>
      <c r="BM52" s="121">
        <f t="shared" si="59"/>
        <v>32</v>
      </c>
      <c r="BN52" s="121">
        <f t="shared" si="59"/>
        <v>32</v>
      </c>
      <c r="BO52" s="121">
        <f t="shared" ref="BO52:BX52" si="61">BO33+BO38+BO43+BO48</f>
        <v>32</v>
      </c>
      <c r="BP52" s="121">
        <f t="shared" si="61"/>
        <v>32</v>
      </c>
      <c r="BQ52" s="121">
        <f t="shared" si="61"/>
        <v>32</v>
      </c>
      <c r="BR52" s="121">
        <f t="shared" si="61"/>
        <v>32</v>
      </c>
      <c r="BS52" s="121">
        <f t="shared" si="61"/>
        <v>32</v>
      </c>
      <c r="BT52" s="121">
        <f t="shared" si="61"/>
        <v>32</v>
      </c>
      <c r="BU52" s="121">
        <f t="shared" si="61"/>
        <v>32</v>
      </c>
      <c r="BV52" s="121">
        <f t="shared" si="61"/>
        <v>32</v>
      </c>
      <c r="BW52" s="121">
        <f t="shared" si="61"/>
        <v>32</v>
      </c>
      <c r="BX52" s="121">
        <f t="shared" si="61"/>
        <v>32</v>
      </c>
    </row>
    <row r="53" spans="1:76" x14ac:dyDescent="0.25">
      <c r="A53" s="49"/>
      <c r="B53" s="65"/>
      <c r="C53" s="53"/>
      <c r="D53" s="38"/>
      <c r="E53" s="38"/>
      <c r="F53" s="20"/>
    </row>
    <row r="54" spans="1:76" x14ac:dyDescent="0.25">
      <c r="A54" s="49" t="s">
        <v>116</v>
      </c>
      <c r="B54" s="38"/>
      <c r="C54" s="53"/>
      <c r="D54" s="38"/>
      <c r="E54" s="38"/>
      <c r="F54" s="20"/>
    </row>
    <row r="55" spans="1:76" ht="12.75" customHeight="1" x14ac:dyDescent="0.25">
      <c r="A55" s="479" t="s">
        <v>164</v>
      </c>
      <c r="B55" s="140">
        <f t="shared" ref="B55:AG55" si="62">B31</f>
        <v>2020</v>
      </c>
      <c r="C55" s="140">
        <f t="shared" si="62"/>
        <v>2020</v>
      </c>
      <c r="D55" s="140">
        <f t="shared" si="62"/>
        <v>2020</v>
      </c>
      <c r="E55" s="140">
        <f t="shared" si="62"/>
        <v>2021</v>
      </c>
      <c r="F55" s="140">
        <f t="shared" si="62"/>
        <v>2021</v>
      </c>
      <c r="G55" s="140">
        <f t="shared" si="62"/>
        <v>2021</v>
      </c>
      <c r="H55" s="140">
        <f t="shared" si="62"/>
        <v>2021</v>
      </c>
      <c r="I55" s="140">
        <f t="shared" si="62"/>
        <v>2021</v>
      </c>
      <c r="J55" s="140">
        <f t="shared" si="62"/>
        <v>2021</v>
      </c>
      <c r="K55" s="140">
        <f t="shared" si="62"/>
        <v>2021</v>
      </c>
      <c r="L55" s="140">
        <f t="shared" si="62"/>
        <v>2021</v>
      </c>
      <c r="M55" s="140">
        <f t="shared" si="62"/>
        <v>2021</v>
      </c>
      <c r="N55" s="140">
        <f t="shared" si="62"/>
        <v>2021</v>
      </c>
      <c r="O55" s="140">
        <f t="shared" si="62"/>
        <v>2021</v>
      </c>
      <c r="P55" s="140">
        <f t="shared" si="62"/>
        <v>2021</v>
      </c>
      <c r="Q55" s="140">
        <f t="shared" si="62"/>
        <v>2022</v>
      </c>
      <c r="R55" s="140">
        <f t="shared" si="62"/>
        <v>2022</v>
      </c>
      <c r="S55" s="140">
        <f t="shared" si="62"/>
        <v>2022</v>
      </c>
      <c r="T55" s="140">
        <f t="shared" si="62"/>
        <v>2022</v>
      </c>
      <c r="U55" s="140">
        <f t="shared" si="62"/>
        <v>2022</v>
      </c>
      <c r="V55" s="140">
        <f t="shared" si="62"/>
        <v>2022</v>
      </c>
      <c r="W55" s="140">
        <f t="shared" si="62"/>
        <v>2022</v>
      </c>
      <c r="X55" s="140">
        <f t="shared" si="62"/>
        <v>2022</v>
      </c>
      <c r="Y55" s="140">
        <f t="shared" si="62"/>
        <v>2022</v>
      </c>
      <c r="Z55" s="140">
        <f t="shared" si="62"/>
        <v>2022</v>
      </c>
      <c r="AA55" s="140">
        <f t="shared" si="62"/>
        <v>2022</v>
      </c>
      <c r="AB55" s="140">
        <f t="shared" si="62"/>
        <v>2022</v>
      </c>
      <c r="AC55" s="140">
        <f t="shared" si="62"/>
        <v>2023</v>
      </c>
      <c r="AD55" s="140">
        <f t="shared" si="62"/>
        <v>2023</v>
      </c>
      <c r="AE55" s="140">
        <f t="shared" si="62"/>
        <v>2023</v>
      </c>
      <c r="AF55" s="140">
        <f t="shared" si="62"/>
        <v>2023</v>
      </c>
      <c r="AG55" s="140">
        <f t="shared" si="62"/>
        <v>2023</v>
      </c>
      <c r="AH55" s="140">
        <f t="shared" ref="AH55:BM55" si="63">AH31</f>
        <v>2023</v>
      </c>
      <c r="AI55" s="140">
        <f t="shared" si="63"/>
        <v>2023</v>
      </c>
      <c r="AJ55" s="140">
        <f t="shared" si="63"/>
        <v>2023</v>
      </c>
      <c r="AK55" s="140">
        <f t="shared" si="63"/>
        <v>2023</v>
      </c>
      <c r="AL55" s="140">
        <f t="shared" si="63"/>
        <v>2023</v>
      </c>
      <c r="AM55" s="140">
        <f t="shared" si="63"/>
        <v>2023</v>
      </c>
      <c r="AN55" s="140">
        <f t="shared" si="63"/>
        <v>2023</v>
      </c>
      <c r="AO55" s="140">
        <f t="shared" si="63"/>
        <v>2024</v>
      </c>
      <c r="AP55" s="140">
        <f t="shared" si="63"/>
        <v>2024</v>
      </c>
      <c r="AQ55" s="140">
        <f t="shared" si="63"/>
        <v>2024</v>
      </c>
      <c r="AR55" s="140">
        <f t="shared" si="63"/>
        <v>2024</v>
      </c>
      <c r="AS55" s="140">
        <f t="shared" si="63"/>
        <v>2024</v>
      </c>
      <c r="AT55" s="140">
        <f t="shared" si="63"/>
        <v>2024</v>
      </c>
      <c r="AU55" s="140">
        <f t="shared" si="63"/>
        <v>2024</v>
      </c>
      <c r="AV55" s="140">
        <f t="shared" si="63"/>
        <v>2024</v>
      </c>
      <c r="AW55" s="140">
        <f t="shared" si="63"/>
        <v>2024</v>
      </c>
      <c r="AX55" s="140">
        <f t="shared" si="63"/>
        <v>2024</v>
      </c>
      <c r="AY55" s="140">
        <f t="shared" si="63"/>
        <v>2024</v>
      </c>
      <c r="AZ55" s="140">
        <f t="shared" si="63"/>
        <v>2024</v>
      </c>
      <c r="BA55" s="140">
        <f t="shared" si="63"/>
        <v>2025</v>
      </c>
      <c r="BB55" s="140">
        <f t="shared" si="63"/>
        <v>2025</v>
      </c>
      <c r="BC55" s="140">
        <f t="shared" si="63"/>
        <v>2025</v>
      </c>
      <c r="BD55" s="140">
        <f t="shared" si="63"/>
        <v>2025</v>
      </c>
      <c r="BE55" s="140">
        <f t="shared" si="63"/>
        <v>2025</v>
      </c>
      <c r="BF55" s="140">
        <f t="shared" si="63"/>
        <v>2025</v>
      </c>
      <c r="BG55" s="140">
        <f t="shared" si="63"/>
        <v>2025</v>
      </c>
      <c r="BH55" s="140">
        <f t="shared" si="63"/>
        <v>2025</v>
      </c>
      <c r="BI55" s="140">
        <f t="shared" si="63"/>
        <v>2025</v>
      </c>
      <c r="BJ55" s="140">
        <f t="shared" si="63"/>
        <v>2025</v>
      </c>
      <c r="BK55" s="140">
        <f t="shared" si="63"/>
        <v>2025</v>
      </c>
      <c r="BL55" s="140">
        <f t="shared" si="63"/>
        <v>2025</v>
      </c>
      <c r="BM55" s="140">
        <f t="shared" si="63"/>
        <v>2026</v>
      </c>
      <c r="BN55" s="140">
        <f t="shared" ref="BN55:BX55" si="64">BN31</f>
        <v>2026</v>
      </c>
      <c r="BO55" s="140">
        <f t="shared" si="64"/>
        <v>2026</v>
      </c>
      <c r="BP55" s="140">
        <f t="shared" si="64"/>
        <v>2026</v>
      </c>
      <c r="BQ55" s="140">
        <f t="shared" si="64"/>
        <v>2026</v>
      </c>
      <c r="BR55" s="140">
        <f t="shared" si="64"/>
        <v>2026</v>
      </c>
      <c r="BS55" s="140">
        <f t="shared" si="64"/>
        <v>2026</v>
      </c>
      <c r="BT55" s="140">
        <f t="shared" si="64"/>
        <v>2026</v>
      </c>
      <c r="BU55" s="140">
        <f t="shared" si="64"/>
        <v>2026</v>
      </c>
      <c r="BV55" s="140">
        <f t="shared" si="64"/>
        <v>2026</v>
      </c>
      <c r="BW55" s="140">
        <f t="shared" si="64"/>
        <v>2026</v>
      </c>
      <c r="BX55" s="140">
        <f t="shared" si="64"/>
        <v>2026</v>
      </c>
    </row>
    <row r="56" spans="1:76" ht="12.75" customHeight="1" x14ac:dyDescent="0.25">
      <c r="A56" s="494"/>
      <c r="B56" s="367">
        <f>B32</f>
        <v>44106</v>
      </c>
      <c r="C56" s="367">
        <f t="shared" ref="C56:BN56" si="65">C32</f>
        <v>44137</v>
      </c>
      <c r="D56" s="367">
        <f t="shared" si="65"/>
        <v>44167</v>
      </c>
      <c r="E56" s="367">
        <f t="shared" si="65"/>
        <v>44198</v>
      </c>
      <c r="F56" s="367">
        <f t="shared" si="65"/>
        <v>44229</v>
      </c>
      <c r="G56" s="367">
        <f t="shared" si="65"/>
        <v>44257</v>
      </c>
      <c r="H56" s="367">
        <f t="shared" si="65"/>
        <v>44288</v>
      </c>
      <c r="I56" s="367">
        <f t="shared" si="65"/>
        <v>44318</v>
      </c>
      <c r="J56" s="367">
        <f t="shared" si="65"/>
        <v>44349</v>
      </c>
      <c r="K56" s="367">
        <f t="shared" si="65"/>
        <v>44379</v>
      </c>
      <c r="L56" s="367">
        <f t="shared" si="65"/>
        <v>44410</v>
      </c>
      <c r="M56" s="367">
        <f t="shared" si="65"/>
        <v>44441</v>
      </c>
      <c r="N56" s="367">
        <f t="shared" si="65"/>
        <v>44471</v>
      </c>
      <c r="O56" s="367">
        <f t="shared" si="65"/>
        <v>44502</v>
      </c>
      <c r="P56" s="367">
        <f t="shared" si="65"/>
        <v>44532</v>
      </c>
      <c r="Q56" s="367">
        <f t="shared" si="65"/>
        <v>44563</v>
      </c>
      <c r="R56" s="367">
        <f t="shared" si="65"/>
        <v>44594</v>
      </c>
      <c r="S56" s="367">
        <f t="shared" si="65"/>
        <v>44622</v>
      </c>
      <c r="T56" s="367">
        <f t="shared" si="65"/>
        <v>44653</v>
      </c>
      <c r="U56" s="367">
        <f t="shared" si="65"/>
        <v>44683</v>
      </c>
      <c r="V56" s="367">
        <f t="shared" si="65"/>
        <v>44714</v>
      </c>
      <c r="W56" s="367">
        <f t="shared" si="65"/>
        <v>44744</v>
      </c>
      <c r="X56" s="367">
        <f t="shared" si="65"/>
        <v>44775</v>
      </c>
      <c r="Y56" s="367">
        <f t="shared" si="65"/>
        <v>44806</v>
      </c>
      <c r="Z56" s="367">
        <f t="shared" si="65"/>
        <v>44836</v>
      </c>
      <c r="AA56" s="367">
        <f t="shared" si="65"/>
        <v>44867</v>
      </c>
      <c r="AB56" s="367">
        <f t="shared" si="65"/>
        <v>44897</v>
      </c>
      <c r="AC56" s="367">
        <f t="shared" si="65"/>
        <v>44928</v>
      </c>
      <c r="AD56" s="367">
        <f t="shared" si="65"/>
        <v>44959</v>
      </c>
      <c r="AE56" s="367">
        <f t="shared" si="65"/>
        <v>44987</v>
      </c>
      <c r="AF56" s="367">
        <f t="shared" si="65"/>
        <v>45018</v>
      </c>
      <c r="AG56" s="367">
        <f t="shared" si="65"/>
        <v>45048</v>
      </c>
      <c r="AH56" s="367">
        <f t="shared" si="65"/>
        <v>45079</v>
      </c>
      <c r="AI56" s="367">
        <f t="shared" si="65"/>
        <v>45109</v>
      </c>
      <c r="AJ56" s="367">
        <f t="shared" si="65"/>
        <v>45140</v>
      </c>
      <c r="AK56" s="367">
        <f t="shared" si="65"/>
        <v>45171</v>
      </c>
      <c r="AL56" s="367">
        <f t="shared" si="65"/>
        <v>45201</v>
      </c>
      <c r="AM56" s="367">
        <f t="shared" si="65"/>
        <v>45232</v>
      </c>
      <c r="AN56" s="367">
        <f t="shared" si="65"/>
        <v>45262</v>
      </c>
      <c r="AO56" s="367">
        <f t="shared" si="65"/>
        <v>45293</v>
      </c>
      <c r="AP56" s="367">
        <f t="shared" si="65"/>
        <v>45324</v>
      </c>
      <c r="AQ56" s="367">
        <f t="shared" si="65"/>
        <v>45353</v>
      </c>
      <c r="AR56" s="367">
        <f t="shared" si="65"/>
        <v>45384</v>
      </c>
      <c r="AS56" s="367">
        <f t="shared" si="65"/>
        <v>45414</v>
      </c>
      <c r="AT56" s="367">
        <f t="shared" si="65"/>
        <v>45445</v>
      </c>
      <c r="AU56" s="367">
        <f t="shared" si="65"/>
        <v>45475</v>
      </c>
      <c r="AV56" s="367">
        <f t="shared" si="65"/>
        <v>45506</v>
      </c>
      <c r="AW56" s="367">
        <f t="shared" si="65"/>
        <v>45537</v>
      </c>
      <c r="AX56" s="367">
        <f t="shared" si="65"/>
        <v>45567</v>
      </c>
      <c r="AY56" s="367">
        <f t="shared" si="65"/>
        <v>45598</v>
      </c>
      <c r="AZ56" s="367">
        <f t="shared" si="65"/>
        <v>45628</v>
      </c>
      <c r="BA56" s="367">
        <f t="shared" si="65"/>
        <v>45659</v>
      </c>
      <c r="BB56" s="367">
        <f t="shared" si="65"/>
        <v>45690</v>
      </c>
      <c r="BC56" s="367">
        <f t="shared" si="65"/>
        <v>45718</v>
      </c>
      <c r="BD56" s="367">
        <f t="shared" si="65"/>
        <v>45749</v>
      </c>
      <c r="BE56" s="367">
        <f t="shared" si="65"/>
        <v>45779</v>
      </c>
      <c r="BF56" s="367">
        <f t="shared" si="65"/>
        <v>45810</v>
      </c>
      <c r="BG56" s="367">
        <f t="shared" si="65"/>
        <v>45840</v>
      </c>
      <c r="BH56" s="367">
        <f t="shared" si="65"/>
        <v>45871</v>
      </c>
      <c r="BI56" s="367">
        <f t="shared" si="65"/>
        <v>45902</v>
      </c>
      <c r="BJ56" s="367">
        <f t="shared" si="65"/>
        <v>45932</v>
      </c>
      <c r="BK56" s="367">
        <f t="shared" si="65"/>
        <v>45963</v>
      </c>
      <c r="BL56" s="367">
        <f t="shared" si="65"/>
        <v>45993</v>
      </c>
      <c r="BM56" s="367">
        <f t="shared" si="65"/>
        <v>46024</v>
      </c>
      <c r="BN56" s="367">
        <f t="shared" si="65"/>
        <v>46055</v>
      </c>
      <c r="BO56" s="367">
        <f t="shared" ref="BO56:BX56" si="66">BO32</f>
        <v>46083</v>
      </c>
      <c r="BP56" s="367">
        <f t="shared" si="66"/>
        <v>46114</v>
      </c>
      <c r="BQ56" s="367">
        <f t="shared" si="66"/>
        <v>46144</v>
      </c>
      <c r="BR56" s="367">
        <f t="shared" si="66"/>
        <v>46175</v>
      </c>
      <c r="BS56" s="367">
        <f t="shared" si="66"/>
        <v>46205</v>
      </c>
      <c r="BT56" s="367">
        <f t="shared" si="66"/>
        <v>46236</v>
      </c>
      <c r="BU56" s="367">
        <f t="shared" si="66"/>
        <v>46267</v>
      </c>
      <c r="BV56" s="367">
        <f t="shared" si="66"/>
        <v>46297</v>
      </c>
      <c r="BW56" s="367">
        <f t="shared" si="66"/>
        <v>46328</v>
      </c>
      <c r="BX56" s="367">
        <f t="shared" si="66"/>
        <v>46358</v>
      </c>
    </row>
    <row r="57" spans="1:76" ht="12.75" hidden="1" customHeight="1" x14ac:dyDescent="0.25">
      <c r="A57" s="123"/>
      <c r="B57" s="140">
        <f>'План продаж'!C11</f>
        <v>0</v>
      </c>
      <c r="C57" s="140">
        <f>'План продаж'!D11</f>
        <v>0</v>
      </c>
      <c r="D57" s="140">
        <f>'План продаж'!E11</f>
        <v>0</v>
      </c>
      <c r="E57" s="140">
        <f>'План продаж'!F11</f>
        <v>1</v>
      </c>
      <c r="F57" s="140">
        <f>'План продаж'!G11</f>
        <v>1</v>
      </c>
      <c r="G57" s="140">
        <f>'План продаж'!H11</f>
        <v>1</v>
      </c>
      <c r="H57" s="140">
        <f>'План продаж'!I11</f>
        <v>1</v>
      </c>
      <c r="I57" s="140">
        <f>'План продаж'!J11</f>
        <v>1</v>
      </c>
      <c r="J57" s="140">
        <f>'План продаж'!K11</f>
        <v>1</v>
      </c>
      <c r="K57" s="140">
        <f>'План продаж'!L11</f>
        <v>1</v>
      </c>
      <c r="L57" s="140">
        <f>'План продаж'!M11</f>
        <v>1</v>
      </c>
      <c r="M57" s="140">
        <f>'План продаж'!N11</f>
        <v>1</v>
      </c>
      <c r="N57" s="140">
        <f>'План продаж'!O11</f>
        <v>1</v>
      </c>
      <c r="O57" s="140">
        <f>'План продаж'!P11</f>
        <v>1</v>
      </c>
      <c r="P57" s="140">
        <f>'План продаж'!Q11</f>
        <v>1</v>
      </c>
      <c r="Q57" s="140">
        <f>'План продаж'!R11</f>
        <v>2</v>
      </c>
      <c r="R57" s="140">
        <f>'План продаж'!S11</f>
        <v>2</v>
      </c>
      <c r="S57" s="140">
        <f>'План продаж'!T11</f>
        <v>2</v>
      </c>
      <c r="T57" s="140">
        <f>'План продаж'!U11</f>
        <v>2</v>
      </c>
      <c r="U57" s="140">
        <f>'План продаж'!V11</f>
        <v>2</v>
      </c>
      <c r="V57" s="140">
        <f>'План продаж'!W11</f>
        <v>2</v>
      </c>
      <c r="W57" s="140">
        <f>'План продаж'!X11</f>
        <v>2</v>
      </c>
      <c r="X57" s="140">
        <f>'План продаж'!Y11</f>
        <v>2</v>
      </c>
      <c r="Y57" s="140">
        <f>'План продаж'!Z11</f>
        <v>2</v>
      </c>
      <c r="Z57" s="140">
        <f>'План продаж'!AA11</f>
        <v>2</v>
      </c>
      <c r="AA57" s="140">
        <f>'План продаж'!AB11</f>
        <v>2</v>
      </c>
      <c r="AB57" s="140">
        <f>'План продаж'!AC11</f>
        <v>2</v>
      </c>
      <c r="AC57" s="140">
        <f>'План продаж'!AD11</f>
        <v>3</v>
      </c>
      <c r="AD57" s="140">
        <f>'План продаж'!AE11</f>
        <v>3</v>
      </c>
      <c r="AE57" s="140">
        <f>'План продаж'!AF11</f>
        <v>3</v>
      </c>
      <c r="AF57" s="140">
        <f>'План продаж'!AG11</f>
        <v>3</v>
      </c>
      <c r="AG57" s="140">
        <f>'План продаж'!AH11</f>
        <v>3</v>
      </c>
      <c r="AH57" s="140">
        <f>'План продаж'!AI11</f>
        <v>3</v>
      </c>
      <c r="AI57" s="140">
        <f>'План продаж'!AJ11</f>
        <v>3</v>
      </c>
      <c r="AJ57" s="140">
        <f>'План продаж'!AK11</f>
        <v>3</v>
      </c>
      <c r="AK57" s="140">
        <f>'План продаж'!AL11</f>
        <v>3</v>
      </c>
      <c r="AL57" s="140">
        <f>'План продаж'!AM11</f>
        <v>3</v>
      </c>
      <c r="AM57" s="140">
        <f>'План продаж'!AN11</f>
        <v>3</v>
      </c>
      <c r="AN57" s="140">
        <f>'План продаж'!AO11</f>
        <v>3</v>
      </c>
      <c r="AO57" s="140">
        <f>'План продаж'!AP11</f>
        <v>4</v>
      </c>
      <c r="AP57" s="140">
        <f>'План продаж'!AQ11</f>
        <v>4</v>
      </c>
      <c r="AQ57" s="140">
        <f>'План продаж'!AR11</f>
        <v>4</v>
      </c>
      <c r="AR57" s="140">
        <f>'План продаж'!AS11</f>
        <v>4</v>
      </c>
      <c r="AS57" s="140">
        <f>'План продаж'!AT11</f>
        <v>4</v>
      </c>
      <c r="AT57" s="140">
        <f>'План продаж'!AU11</f>
        <v>4</v>
      </c>
      <c r="AU57" s="140">
        <f>'План продаж'!AV11</f>
        <v>4</v>
      </c>
      <c r="AV57" s="140">
        <f>'План продаж'!AW11</f>
        <v>4</v>
      </c>
      <c r="AW57" s="140">
        <f>'План продаж'!AX11</f>
        <v>4</v>
      </c>
      <c r="AX57" s="140">
        <f>'План продаж'!AY11</f>
        <v>4</v>
      </c>
      <c r="AY57" s="140">
        <f>'План продаж'!AZ11</f>
        <v>4</v>
      </c>
      <c r="AZ57" s="140">
        <f>'План продаж'!BA11</f>
        <v>4</v>
      </c>
      <c r="BA57" s="140">
        <f>'План продаж'!BB11</f>
        <v>5</v>
      </c>
      <c r="BB57" s="140">
        <f>'План продаж'!BC11</f>
        <v>5</v>
      </c>
      <c r="BC57" s="140">
        <f>'План продаж'!BD11</f>
        <v>5</v>
      </c>
      <c r="BD57" s="140">
        <f>'План продаж'!BE11</f>
        <v>5</v>
      </c>
      <c r="BE57" s="140">
        <f>'План продаж'!BF11</f>
        <v>5</v>
      </c>
      <c r="BF57" s="140">
        <f>'План продаж'!BG11</f>
        <v>5</v>
      </c>
      <c r="BG57" s="140">
        <f>'План продаж'!BH11</f>
        <v>5</v>
      </c>
      <c r="BH57" s="140">
        <f>'План продаж'!BI11</f>
        <v>5</v>
      </c>
      <c r="BI57" s="140">
        <f>'План продаж'!BJ11</f>
        <v>5</v>
      </c>
      <c r="BJ57" s="140">
        <f>'План продаж'!BK11</f>
        <v>5</v>
      </c>
      <c r="BK57" s="140">
        <f>'План продаж'!BL11</f>
        <v>5</v>
      </c>
      <c r="BL57" s="140">
        <f>'План продаж'!BM11</f>
        <v>5</v>
      </c>
      <c r="BM57" s="140">
        <f>'План продаж'!BN11</f>
        <v>6</v>
      </c>
      <c r="BN57" s="140">
        <f>'План продаж'!BO11</f>
        <v>6</v>
      </c>
      <c r="BO57" s="140">
        <f>'План продаж'!BP11</f>
        <v>6</v>
      </c>
      <c r="BP57" s="140">
        <f>'План продаж'!BQ11</f>
        <v>6</v>
      </c>
      <c r="BQ57" s="140">
        <f>'План продаж'!BR11</f>
        <v>6</v>
      </c>
      <c r="BR57" s="140">
        <f>'План продаж'!BS11</f>
        <v>6</v>
      </c>
      <c r="BS57" s="140">
        <f>'План продаж'!BT11</f>
        <v>6</v>
      </c>
      <c r="BT57" s="140">
        <f>'План продаж'!BU11</f>
        <v>6</v>
      </c>
      <c r="BU57" s="140">
        <f>'План продаж'!BV11</f>
        <v>6</v>
      </c>
      <c r="BV57" s="140">
        <f>'План продаж'!BW11</f>
        <v>6</v>
      </c>
      <c r="BW57" s="140">
        <f>'План продаж'!BX11</f>
        <v>6</v>
      </c>
      <c r="BX57" s="140">
        <f>'План продаж'!BY11</f>
        <v>6</v>
      </c>
    </row>
    <row r="58" spans="1:76" s="30" customFormat="1" ht="12.75" customHeight="1" x14ac:dyDescent="0.25">
      <c r="A58" s="382" t="str">
        <f t="shared" ref="A58:A76" si="67">A9</f>
        <v>Управление</v>
      </c>
      <c r="B58" s="383">
        <f>SUM(B59:B62)</f>
        <v>100</v>
      </c>
      <c r="C58" s="383">
        <f t="shared" ref="C58:BN58" si="68">SUM(C59:C62)</f>
        <v>100</v>
      </c>
      <c r="D58" s="383">
        <f t="shared" si="68"/>
        <v>100</v>
      </c>
      <c r="E58" s="383">
        <f t="shared" si="68"/>
        <v>104</v>
      </c>
      <c r="F58" s="383">
        <f t="shared" si="68"/>
        <v>104</v>
      </c>
      <c r="G58" s="383">
        <f t="shared" si="68"/>
        <v>104</v>
      </c>
      <c r="H58" s="383">
        <f t="shared" si="68"/>
        <v>104</v>
      </c>
      <c r="I58" s="383">
        <f t="shared" si="68"/>
        <v>104</v>
      </c>
      <c r="J58" s="383">
        <f t="shared" si="68"/>
        <v>322.39999999999998</v>
      </c>
      <c r="K58" s="383">
        <f t="shared" si="68"/>
        <v>338</v>
      </c>
      <c r="L58" s="383">
        <f t="shared" si="68"/>
        <v>338</v>
      </c>
      <c r="M58" s="383">
        <f t="shared" si="68"/>
        <v>338</v>
      </c>
      <c r="N58" s="383">
        <f t="shared" si="68"/>
        <v>338</v>
      </c>
      <c r="O58" s="383">
        <f t="shared" si="68"/>
        <v>338</v>
      </c>
      <c r="P58" s="383">
        <f t="shared" si="68"/>
        <v>338</v>
      </c>
      <c r="Q58" s="383">
        <f t="shared" si="68"/>
        <v>351.52000000000004</v>
      </c>
      <c r="R58" s="383">
        <f t="shared" si="68"/>
        <v>351.52000000000004</v>
      </c>
      <c r="S58" s="383">
        <f t="shared" si="68"/>
        <v>351.52000000000004</v>
      </c>
      <c r="T58" s="383">
        <f t="shared" si="68"/>
        <v>351.52000000000004</v>
      </c>
      <c r="U58" s="383">
        <f t="shared" si="68"/>
        <v>351.52000000000004</v>
      </c>
      <c r="V58" s="383">
        <f t="shared" si="68"/>
        <v>351.52000000000004</v>
      </c>
      <c r="W58" s="383">
        <f t="shared" si="68"/>
        <v>351.52000000000004</v>
      </c>
      <c r="X58" s="383">
        <f t="shared" si="68"/>
        <v>351.52000000000004</v>
      </c>
      <c r="Y58" s="383">
        <f t="shared" si="68"/>
        <v>351.52000000000004</v>
      </c>
      <c r="Z58" s="383">
        <f t="shared" si="68"/>
        <v>351.52000000000004</v>
      </c>
      <c r="AA58" s="383">
        <f t="shared" si="68"/>
        <v>351.52000000000004</v>
      </c>
      <c r="AB58" s="383">
        <f t="shared" si="68"/>
        <v>351.52000000000004</v>
      </c>
      <c r="AC58" s="383">
        <f t="shared" si="68"/>
        <v>365.58080000000001</v>
      </c>
      <c r="AD58" s="383">
        <f t="shared" si="68"/>
        <v>365.58080000000001</v>
      </c>
      <c r="AE58" s="383">
        <f t="shared" si="68"/>
        <v>365.58080000000001</v>
      </c>
      <c r="AF58" s="383">
        <f t="shared" si="68"/>
        <v>365.58080000000001</v>
      </c>
      <c r="AG58" s="383">
        <f t="shared" si="68"/>
        <v>365.58080000000001</v>
      </c>
      <c r="AH58" s="383">
        <f t="shared" si="68"/>
        <v>365.58080000000001</v>
      </c>
      <c r="AI58" s="383">
        <f t="shared" si="68"/>
        <v>365.58080000000001</v>
      </c>
      <c r="AJ58" s="383">
        <f t="shared" si="68"/>
        <v>365.58080000000001</v>
      </c>
      <c r="AK58" s="383">
        <f t="shared" si="68"/>
        <v>365.58080000000001</v>
      </c>
      <c r="AL58" s="383">
        <f t="shared" si="68"/>
        <v>365.58080000000001</v>
      </c>
      <c r="AM58" s="383">
        <f t="shared" si="68"/>
        <v>365.58080000000001</v>
      </c>
      <c r="AN58" s="383">
        <f t="shared" si="68"/>
        <v>365.58080000000001</v>
      </c>
      <c r="AO58" s="383">
        <f t="shared" si="68"/>
        <v>380.20403200000004</v>
      </c>
      <c r="AP58" s="383">
        <f t="shared" si="68"/>
        <v>380.20403200000004</v>
      </c>
      <c r="AQ58" s="383">
        <f t="shared" si="68"/>
        <v>380.20403200000004</v>
      </c>
      <c r="AR58" s="383">
        <f t="shared" si="68"/>
        <v>380.20403200000004</v>
      </c>
      <c r="AS58" s="383">
        <f t="shared" si="68"/>
        <v>380.20403200000004</v>
      </c>
      <c r="AT58" s="383">
        <f t="shared" si="68"/>
        <v>380.20403200000004</v>
      </c>
      <c r="AU58" s="383">
        <f t="shared" si="68"/>
        <v>380.20403200000004</v>
      </c>
      <c r="AV58" s="383">
        <f t="shared" si="68"/>
        <v>380.20403200000004</v>
      </c>
      <c r="AW58" s="383">
        <f t="shared" si="68"/>
        <v>380.20403200000004</v>
      </c>
      <c r="AX58" s="383">
        <f t="shared" si="68"/>
        <v>380.20403200000004</v>
      </c>
      <c r="AY58" s="383">
        <f t="shared" si="68"/>
        <v>380.20403200000004</v>
      </c>
      <c r="AZ58" s="383">
        <f t="shared" si="68"/>
        <v>380.20403200000004</v>
      </c>
      <c r="BA58" s="383">
        <f t="shared" si="68"/>
        <v>395.41219328000011</v>
      </c>
      <c r="BB58" s="383">
        <f t="shared" si="68"/>
        <v>395.41219328000011</v>
      </c>
      <c r="BC58" s="383">
        <f t="shared" si="68"/>
        <v>395.41219328000011</v>
      </c>
      <c r="BD58" s="383">
        <f t="shared" si="68"/>
        <v>395.41219328000011</v>
      </c>
      <c r="BE58" s="383">
        <f t="shared" si="68"/>
        <v>395.41219328000011</v>
      </c>
      <c r="BF58" s="383">
        <f t="shared" si="68"/>
        <v>395.41219328000011</v>
      </c>
      <c r="BG58" s="383">
        <f t="shared" si="68"/>
        <v>395.41219328000011</v>
      </c>
      <c r="BH58" s="383">
        <f t="shared" si="68"/>
        <v>395.41219328000011</v>
      </c>
      <c r="BI58" s="383">
        <f t="shared" si="68"/>
        <v>395.41219328000011</v>
      </c>
      <c r="BJ58" s="383">
        <f t="shared" si="68"/>
        <v>395.41219328000011</v>
      </c>
      <c r="BK58" s="383">
        <f t="shared" si="68"/>
        <v>395.41219328000011</v>
      </c>
      <c r="BL58" s="383">
        <f t="shared" si="68"/>
        <v>395.41219328000011</v>
      </c>
      <c r="BM58" s="383">
        <f t="shared" si="68"/>
        <v>411.22868101120014</v>
      </c>
      <c r="BN58" s="383">
        <f t="shared" si="68"/>
        <v>411.22868101120014</v>
      </c>
      <c r="BO58" s="383">
        <f t="shared" ref="BO58:BX58" si="69">SUM(BO59:BO62)</f>
        <v>411.22868101120014</v>
      </c>
      <c r="BP58" s="383">
        <f t="shared" si="69"/>
        <v>411.22868101120014</v>
      </c>
      <c r="BQ58" s="383">
        <f t="shared" si="69"/>
        <v>411.22868101120014</v>
      </c>
      <c r="BR58" s="383">
        <f t="shared" si="69"/>
        <v>411.22868101120014</v>
      </c>
      <c r="BS58" s="383">
        <f t="shared" si="69"/>
        <v>411.22868101120014</v>
      </c>
      <c r="BT58" s="383">
        <f t="shared" si="69"/>
        <v>411.22868101120014</v>
      </c>
      <c r="BU58" s="383">
        <f t="shared" si="69"/>
        <v>411.22868101120014</v>
      </c>
      <c r="BV58" s="383">
        <f t="shared" si="69"/>
        <v>411.22868101120014</v>
      </c>
      <c r="BW58" s="383">
        <f t="shared" si="69"/>
        <v>411.22868101120014</v>
      </c>
      <c r="BX58" s="383">
        <f t="shared" si="69"/>
        <v>411.22868101120014</v>
      </c>
    </row>
    <row r="59" spans="1:76" s="30" customFormat="1" ht="12.75" customHeight="1" x14ac:dyDescent="0.25">
      <c r="A59" s="152" t="str">
        <f t="shared" si="67"/>
        <v>Генеральный директор</v>
      </c>
      <c r="B59" s="153">
        <f>B34*$C10*('Книга допущений'!$B$20^B$57)*(1+Риски!$B$12)</f>
        <v>100</v>
      </c>
      <c r="C59" s="153">
        <f>C34*$C10*('Книга допущений'!$B$20^C$57)*(1+Риски!$B$12)</f>
        <v>100</v>
      </c>
      <c r="D59" s="153">
        <f>D34*$C10*('Книга допущений'!$B$20^D$57)*(1+Риски!$B$12)</f>
        <v>100</v>
      </c>
      <c r="E59" s="153">
        <f>E34*$C10*('Книга допущений'!$B$20^E$57)*(1+Риски!$B$12)</f>
        <v>104</v>
      </c>
      <c r="F59" s="153">
        <f>F34*$C10*('Книга допущений'!$B$20^F$57)*(1+Риски!$B$12)</f>
        <v>104</v>
      </c>
      <c r="G59" s="153">
        <f>G34*$C10*('Книга допущений'!$B$20^G$57)*(1+Риски!$B$12)</f>
        <v>104</v>
      </c>
      <c r="H59" s="153">
        <f>H34*$C10*('Книга допущений'!$B$20^H$57)*(1+Риски!$B$12)</f>
        <v>104</v>
      </c>
      <c r="I59" s="153">
        <f>I34*$C10*('Книга допущений'!$B$20^I$57)*(1+Риски!$B$12)</f>
        <v>104</v>
      </c>
      <c r="J59" s="153">
        <f>J34*$C10*('Книга допущений'!$B$20^J$57)*(1+Риски!$B$12)</f>
        <v>104</v>
      </c>
      <c r="K59" s="153">
        <f>K34*$C10*('Книга допущений'!$B$20^K$57)*(1+Риски!$B$12)</f>
        <v>104</v>
      </c>
      <c r="L59" s="153">
        <f>L34*$C10*('Книга допущений'!$B$20^L$57)*(1+Риски!$B$12)</f>
        <v>104</v>
      </c>
      <c r="M59" s="153">
        <f>M34*$C10*('Книга допущений'!$B$20^M$57)*(1+Риски!$B$12)</f>
        <v>104</v>
      </c>
      <c r="N59" s="153">
        <f>N34*$C10*('Книга допущений'!$B$20^N$57)*(1+Риски!$B$12)</f>
        <v>104</v>
      </c>
      <c r="O59" s="153">
        <f>O34*$C10*('Книга допущений'!$B$20^O$57)*(1+Риски!$B$12)</f>
        <v>104</v>
      </c>
      <c r="P59" s="153">
        <f>P34*$C10*('Книга допущений'!$B$20^P$57)*(1+Риски!$B$12)</f>
        <v>104</v>
      </c>
      <c r="Q59" s="153">
        <f>Q34*$C10*('Книга допущений'!$B$20^Q$57)*(1+Риски!$B$12)</f>
        <v>108.16000000000001</v>
      </c>
      <c r="R59" s="153">
        <f>R34*$C10*('Книга допущений'!$B$20^R$57)*(1+Риски!$B$12)</f>
        <v>108.16000000000001</v>
      </c>
      <c r="S59" s="153">
        <f>S34*$C10*('Книга допущений'!$B$20^S$57)*(1+Риски!$B$12)</f>
        <v>108.16000000000001</v>
      </c>
      <c r="T59" s="153">
        <f>T34*$C10*('Книга допущений'!$B$20^T$57)*(1+Риски!$B$12)</f>
        <v>108.16000000000001</v>
      </c>
      <c r="U59" s="153">
        <f>U34*$C10*('Книга допущений'!$B$20^U$57)*(1+Риски!$B$12)</f>
        <v>108.16000000000001</v>
      </c>
      <c r="V59" s="153">
        <f>V34*$C10*('Книга допущений'!$B$20^V$57)*(1+Риски!$B$12)</f>
        <v>108.16000000000001</v>
      </c>
      <c r="W59" s="153">
        <f>W34*$C10*('Книга допущений'!$B$20^W$57)*(1+Риски!$B$12)</f>
        <v>108.16000000000001</v>
      </c>
      <c r="X59" s="153">
        <f>X34*$C10*('Книга допущений'!$B$20^X$57)*(1+Риски!$B$12)</f>
        <v>108.16000000000001</v>
      </c>
      <c r="Y59" s="153">
        <f>Y34*$C10*('Книга допущений'!$B$20^Y$57)*(1+Риски!$B$12)</f>
        <v>108.16000000000001</v>
      </c>
      <c r="Z59" s="153">
        <f>Z34*$C10*('Книга допущений'!$B$20^Z$57)*(1+Риски!$B$12)</f>
        <v>108.16000000000001</v>
      </c>
      <c r="AA59" s="153">
        <f>AA34*$C10*('Книга допущений'!$B$20^AA$57)*(1+Риски!$B$12)</f>
        <v>108.16000000000001</v>
      </c>
      <c r="AB59" s="153">
        <f>AB34*$C10*('Книга допущений'!$B$20^AB$57)*(1+Риски!$B$12)</f>
        <v>108.16000000000001</v>
      </c>
      <c r="AC59" s="153">
        <f>AC34*$C10*('Книга допущений'!$B$20^AC$57)*(1+Риски!$B$12)</f>
        <v>112.4864</v>
      </c>
      <c r="AD59" s="153">
        <f>AD34*$C10*('Книга допущений'!$B$20^AD$57)*(1+Риски!$B$12)</f>
        <v>112.4864</v>
      </c>
      <c r="AE59" s="153">
        <f>AE34*$C10*('Книга допущений'!$B$20^AE$57)*(1+Риски!$B$12)</f>
        <v>112.4864</v>
      </c>
      <c r="AF59" s="153">
        <f>AF34*$C10*('Книга допущений'!$B$20^AF$57)*(1+Риски!$B$12)</f>
        <v>112.4864</v>
      </c>
      <c r="AG59" s="153">
        <f>AG34*$C10*('Книга допущений'!$B$20^AG$57)*(1+Риски!$B$12)</f>
        <v>112.4864</v>
      </c>
      <c r="AH59" s="153">
        <f>AH34*$C10*('Книга допущений'!$B$20^AH$57)*(1+Риски!$B$12)</f>
        <v>112.4864</v>
      </c>
      <c r="AI59" s="153">
        <f>AI34*$C10*('Книга допущений'!$B$20^AI$57)*(1+Риски!$B$12)</f>
        <v>112.4864</v>
      </c>
      <c r="AJ59" s="153">
        <f>AJ34*$C10*('Книга допущений'!$B$20^AJ$57)*(1+Риски!$B$12)</f>
        <v>112.4864</v>
      </c>
      <c r="AK59" s="153">
        <f>AK34*$C10*('Книга допущений'!$B$20^AK$57)*(1+Риски!$B$12)</f>
        <v>112.4864</v>
      </c>
      <c r="AL59" s="153">
        <f>AL34*$C10*('Книга допущений'!$B$20^AL$57)*(1+Риски!$B$12)</f>
        <v>112.4864</v>
      </c>
      <c r="AM59" s="153">
        <f>AM34*$C10*('Книга допущений'!$B$20^AM$57)*(1+Риски!$B$12)</f>
        <v>112.4864</v>
      </c>
      <c r="AN59" s="153">
        <f>AN34*$C10*('Книга допущений'!$B$20^AN$57)*(1+Риски!$B$12)</f>
        <v>112.4864</v>
      </c>
      <c r="AO59" s="153">
        <f>AO34*$C10*('Книга допущений'!$B$20^AO$57)*(1+Риски!$B$12)</f>
        <v>116.98585600000003</v>
      </c>
      <c r="AP59" s="153">
        <f>AP34*$C10*('Книга допущений'!$B$20^AP$57)*(1+Риски!$B$12)</f>
        <v>116.98585600000003</v>
      </c>
      <c r="AQ59" s="153">
        <f>AQ34*$C10*('Книга допущений'!$B$20^AQ$57)*(1+Риски!$B$12)</f>
        <v>116.98585600000003</v>
      </c>
      <c r="AR59" s="153">
        <f>AR34*$C10*('Книга допущений'!$B$20^AR$57)*(1+Риски!$B$12)</f>
        <v>116.98585600000003</v>
      </c>
      <c r="AS59" s="153">
        <f>AS34*$C10*('Книга допущений'!$B$20^AS$57)*(1+Риски!$B$12)</f>
        <v>116.98585600000003</v>
      </c>
      <c r="AT59" s="153">
        <f>AT34*$C10*('Книга допущений'!$B$20^AT$57)*(1+Риски!$B$12)</f>
        <v>116.98585600000003</v>
      </c>
      <c r="AU59" s="153">
        <f>AU34*$C10*('Книга допущений'!$B$20^AU$57)*(1+Риски!$B$12)</f>
        <v>116.98585600000003</v>
      </c>
      <c r="AV59" s="153">
        <f>AV34*$C10*('Книга допущений'!$B$20^AV$57)*(1+Риски!$B$12)</f>
        <v>116.98585600000003</v>
      </c>
      <c r="AW59" s="153">
        <f>AW34*$C10*('Книга допущений'!$B$20^AW$57)*(1+Риски!$B$12)</f>
        <v>116.98585600000003</v>
      </c>
      <c r="AX59" s="153">
        <f>AX34*$C10*('Книга допущений'!$B$20^AX$57)*(1+Риски!$B$12)</f>
        <v>116.98585600000003</v>
      </c>
      <c r="AY59" s="153">
        <f>AY34*$C10*('Книга допущений'!$B$20^AY$57)*(1+Риски!$B$12)</f>
        <v>116.98585600000003</v>
      </c>
      <c r="AZ59" s="153">
        <f>AZ34*$C10*('Книга допущений'!$B$20^AZ$57)*(1+Риски!$B$12)</f>
        <v>116.98585600000003</v>
      </c>
      <c r="BA59" s="153">
        <f>BA34*$C10*('Книга допущений'!$B$20^BA$57)*(1+Риски!$B$12)</f>
        <v>121.66529024000003</v>
      </c>
      <c r="BB59" s="153">
        <f>BB34*$C10*('Книга допущений'!$B$20^BB$57)*(1+Риски!$B$12)</f>
        <v>121.66529024000003</v>
      </c>
      <c r="BC59" s="153">
        <f>BC34*$C10*('Книга допущений'!$B$20^BC$57)*(1+Риски!$B$12)</f>
        <v>121.66529024000003</v>
      </c>
      <c r="BD59" s="153">
        <f>BD34*$C10*('Книга допущений'!$B$20^BD$57)*(1+Риски!$B$12)</f>
        <v>121.66529024000003</v>
      </c>
      <c r="BE59" s="153">
        <f>BE34*$C10*('Книга допущений'!$B$20^BE$57)*(1+Риски!$B$12)</f>
        <v>121.66529024000003</v>
      </c>
      <c r="BF59" s="153">
        <f>BF34*$C10*('Книга допущений'!$B$20^BF$57)*(1+Риски!$B$12)</f>
        <v>121.66529024000003</v>
      </c>
      <c r="BG59" s="153">
        <f>BG34*$C10*('Книга допущений'!$B$20^BG$57)*(1+Риски!$B$12)</f>
        <v>121.66529024000003</v>
      </c>
      <c r="BH59" s="153">
        <f>BH34*$C10*('Книга допущений'!$B$20^BH$57)*(1+Риски!$B$12)</f>
        <v>121.66529024000003</v>
      </c>
      <c r="BI59" s="153">
        <f>BI34*$C10*('Книга допущений'!$B$20^BI$57)*(1+Риски!$B$12)</f>
        <v>121.66529024000003</v>
      </c>
      <c r="BJ59" s="153">
        <f>BJ34*$C10*('Книга допущений'!$B$20^BJ$57)*(1+Риски!$B$12)</f>
        <v>121.66529024000003</v>
      </c>
      <c r="BK59" s="153">
        <f>BK34*$C10*('Книга допущений'!$B$20^BK$57)*(1+Риски!$B$12)</f>
        <v>121.66529024000003</v>
      </c>
      <c r="BL59" s="153">
        <f>BL34*$C10*('Книга допущений'!$B$20^BL$57)*(1+Риски!$B$12)</f>
        <v>121.66529024000003</v>
      </c>
      <c r="BM59" s="153">
        <f>BM34*$C10*('Книга допущений'!$B$20^BM$57)*(1+Риски!$B$12)</f>
        <v>126.53190184960003</v>
      </c>
      <c r="BN59" s="153">
        <f>BN34*$C10*('Книга допущений'!$B$20^BN$57)*(1+Риски!$B$12)</f>
        <v>126.53190184960003</v>
      </c>
      <c r="BO59" s="153">
        <f>BO34*$C10*('Книга допущений'!$B$20^BO$57)*(1+Риски!$B$12)</f>
        <v>126.53190184960003</v>
      </c>
      <c r="BP59" s="153">
        <f>BP34*$C10*('Книга допущений'!$B$20^BP$57)*(1+Риски!$B$12)</f>
        <v>126.53190184960003</v>
      </c>
      <c r="BQ59" s="153">
        <f>BQ34*$C10*('Книга допущений'!$B$20^BQ$57)*(1+Риски!$B$12)</f>
        <v>126.53190184960003</v>
      </c>
      <c r="BR59" s="153">
        <f>BR34*$C10*('Книга допущений'!$B$20^BR$57)*(1+Риски!$B$12)</f>
        <v>126.53190184960003</v>
      </c>
      <c r="BS59" s="153">
        <f>BS34*$C10*('Книга допущений'!$B$20^BS$57)*(1+Риски!$B$12)</f>
        <v>126.53190184960003</v>
      </c>
      <c r="BT59" s="153">
        <f>BT34*$C10*('Книга допущений'!$B$20^BT$57)*(1+Риски!$B$12)</f>
        <v>126.53190184960003</v>
      </c>
      <c r="BU59" s="153">
        <f>BU34*$C10*('Книга допущений'!$B$20^BU$57)*(1+Риски!$B$12)</f>
        <v>126.53190184960003</v>
      </c>
      <c r="BV59" s="153">
        <f>BV34*$C10*('Книга допущений'!$B$20^BV$57)*(1+Риски!$B$12)</f>
        <v>126.53190184960003</v>
      </c>
      <c r="BW59" s="153">
        <f>BW34*$C10*('Книга допущений'!$B$20^BW$57)*(1+Риски!$B$12)</f>
        <v>126.53190184960003</v>
      </c>
      <c r="BX59" s="153">
        <f>BX34*$C10*('Книга допущений'!$B$20^BX$57)*(1+Риски!$B$12)</f>
        <v>126.53190184960003</v>
      </c>
    </row>
    <row r="60" spans="1:76" s="30" customFormat="1" ht="12.75" customHeight="1" x14ac:dyDescent="0.25">
      <c r="A60" s="152" t="str">
        <f t="shared" si="67"/>
        <v>Инженер ПТО</v>
      </c>
      <c r="B60" s="153">
        <f>B35*$C11*('Книга допущений'!$B$20^B$57)*(1+Риски!$B$12)</f>
        <v>0</v>
      </c>
      <c r="C60" s="153">
        <f>C35*$C11*('Книга допущений'!$B$20^C$57)*(1+Риски!$B$12)</f>
        <v>0</v>
      </c>
      <c r="D60" s="153">
        <f>D35*$C11*('Книга допущений'!$B$20^D$57)*(1+Риски!$B$12)</f>
        <v>0</v>
      </c>
      <c r="E60" s="153">
        <f>E35*$C11*('Книга допущений'!$B$20^E$57)*(1+Риски!$B$12)</f>
        <v>0</v>
      </c>
      <c r="F60" s="153">
        <f>F35*$C11*('Книга допущений'!$B$20^F$57)*(1+Риски!$B$12)</f>
        <v>0</v>
      </c>
      <c r="G60" s="153">
        <f>G35*$C11*('Книга допущений'!$B$20^G$57)*(1+Риски!$B$12)</f>
        <v>0</v>
      </c>
      <c r="H60" s="153">
        <f>H35*$C11*('Книга допущений'!$B$20^H$57)*(1+Риски!$B$12)</f>
        <v>0</v>
      </c>
      <c r="I60" s="153">
        <f>I35*$C11*('Книга допущений'!$B$20^I$57)*(1+Риски!$B$12)</f>
        <v>0</v>
      </c>
      <c r="J60" s="153">
        <f>J35*$C11*('Книга допущений'!$B$20^J$57)*(1+Риски!$B$12)</f>
        <v>72.8</v>
      </c>
      <c r="K60" s="153">
        <f>K35*$C11*('Книга допущений'!$B$20^K$57)*(1+Риски!$B$12)</f>
        <v>72.8</v>
      </c>
      <c r="L60" s="153">
        <f>L35*$C11*('Книга допущений'!$B$20^L$57)*(1+Риски!$B$12)</f>
        <v>72.8</v>
      </c>
      <c r="M60" s="153">
        <f>M35*$C11*('Книга допущений'!$B$20^M$57)*(1+Риски!$B$12)</f>
        <v>72.8</v>
      </c>
      <c r="N60" s="153">
        <f>N35*$C11*('Книга допущений'!$B$20^N$57)*(1+Риски!$B$12)</f>
        <v>72.8</v>
      </c>
      <c r="O60" s="153">
        <f>O35*$C11*('Книга допущений'!$B$20^O$57)*(1+Риски!$B$12)</f>
        <v>72.8</v>
      </c>
      <c r="P60" s="153">
        <f>P35*$C11*('Книга допущений'!$B$20^P$57)*(1+Риски!$B$12)</f>
        <v>72.8</v>
      </c>
      <c r="Q60" s="153">
        <f>Q35*$C11*('Книга допущений'!$B$20^Q$57)*(1+Риски!$B$12)</f>
        <v>75.712000000000003</v>
      </c>
      <c r="R60" s="153">
        <f>R35*$C11*('Книга допущений'!$B$20^R$57)*(1+Риски!$B$12)</f>
        <v>75.712000000000003</v>
      </c>
      <c r="S60" s="153">
        <f>S35*$C11*('Книга допущений'!$B$20^S$57)*(1+Риски!$B$12)</f>
        <v>75.712000000000003</v>
      </c>
      <c r="T60" s="153">
        <f>T35*$C11*('Книга допущений'!$B$20^T$57)*(1+Риски!$B$12)</f>
        <v>75.712000000000003</v>
      </c>
      <c r="U60" s="153">
        <f>U35*$C11*('Книга допущений'!$B$20^U$57)*(1+Риски!$B$12)</f>
        <v>75.712000000000003</v>
      </c>
      <c r="V60" s="153">
        <f>V35*$C11*('Книга допущений'!$B$20^V$57)*(1+Риски!$B$12)</f>
        <v>75.712000000000003</v>
      </c>
      <c r="W60" s="153">
        <f>W35*$C11*('Книга допущений'!$B$20^W$57)*(1+Риски!$B$12)</f>
        <v>75.712000000000003</v>
      </c>
      <c r="X60" s="153">
        <f>X35*$C11*('Книга допущений'!$B$20^X$57)*(1+Риски!$B$12)</f>
        <v>75.712000000000003</v>
      </c>
      <c r="Y60" s="153">
        <f>Y35*$C11*('Книга допущений'!$B$20^Y$57)*(1+Риски!$B$12)</f>
        <v>75.712000000000003</v>
      </c>
      <c r="Z60" s="153">
        <f>Z35*$C11*('Книга допущений'!$B$20^Z$57)*(1+Риски!$B$12)</f>
        <v>75.712000000000003</v>
      </c>
      <c r="AA60" s="153">
        <f>AA35*$C11*('Книга допущений'!$B$20^AA$57)*(1+Риски!$B$12)</f>
        <v>75.712000000000003</v>
      </c>
      <c r="AB60" s="153">
        <f>AB35*$C11*('Книга допущений'!$B$20^AB$57)*(1+Риски!$B$12)</f>
        <v>75.712000000000003</v>
      </c>
      <c r="AC60" s="153">
        <f>AC35*$C11*('Книга допущений'!$B$20^AC$57)*(1+Риски!$B$12)</f>
        <v>78.740480000000005</v>
      </c>
      <c r="AD60" s="153">
        <f>AD35*$C11*('Книга допущений'!$B$20^AD$57)*(1+Риски!$B$12)</f>
        <v>78.740480000000005</v>
      </c>
      <c r="AE60" s="153">
        <f>AE35*$C11*('Книга допущений'!$B$20^AE$57)*(1+Риски!$B$12)</f>
        <v>78.740480000000005</v>
      </c>
      <c r="AF60" s="153">
        <f>AF35*$C11*('Книга допущений'!$B$20^AF$57)*(1+Риски!$B$12)</f>
        <v>78.740480000000005</v>
      </c>
      <c r="AG60" s="153">
        <f>AG35*$C11*('Книга допущений'!$B$20^AG$57)*(1+Риски!$B$12)</f>
        <v>78.740480000000005</v>
      </c>
      <c r="AH60" s="153">
        <f>AH35*$C11*('Книга допущений'!$B$20^AH$57)*(1+Риски!$B$12)</f>
        <v>78.740480000000005</v>
      </c>
      <c r="AI60" s="153">
        <f>AI35*$C11*('Книга допущений'!$B$20^AI$57)*(1+Риски!$B$12)</f>
        <v>78.740480000000005</v>
      </c>
      <c r="AJ60" s="153">
        <f>AJ35*$C11*('Книга допущений'!$B$20^AJ$57)*(1+Риски!$B$12)</f>
        <v>78.740480000000005</v>
      </c>
      <c r="AK60" s="153">
        <f>AK35*$C11*('Книга допущений'!$B$20^AK$57)*(1+Риски!$B$12)</f>
        <v>78.740480000000005</v>
      </c>
      <c r="AL60" s="153">
        <f>AL35*$C11*('Книга допущений'!$B$20^AL$57)*(1+Риски!$B$12)</f>
        <v>78.740480000000005</v>
      </c>
      <c r="AM60" s="153">
        <f>AM35*$C11*('Книга допущений'!$B$20^AM$57)*(1+Риски!$B$12)</f>
        <v>78.740480000000005</v>
      </c>
      <c r="AN60" s="153">
        <f>AN35*$C11*('Книга допущений'!$B$20^AN$57)*(1+Риски!$B$12)</f>
        <v>78.740480000000005</v>
      </c>
      <c r="AO60" s="153">
        <f>AO35*$C11*('Книга допущений'!$B$20^AO$57)*(1+Риски!$B$12)</f>
        <v>81.890099200000009</v>
      </c>
      <c r="AP60" s="153">
        <f>AP35*$C11*('Книга допущений'!$B$20^AP$57)*(1+Риски!$B$12)</f>
        <v>81.890099200000009</v>
      </c>
      <c r="AQ60" s="153">
        <f>AQ35*$C11*('Книга допущений'!$B$20^AQ$57)*(1+Риски!$B$12)</f>
        <v>81.890099200000009</v>
      </c>
      <c r="AR60" s="153">
        <f>AR35*$C11*('Книга допущений'!$B$20^AR$57)*(1+Риски!$B$12)</f>
        <v>81.890099200000009</v>
      </c>
      <c r="AS60" s="153">
        <f>AS35*$C11*('Книга допущений'!$B$20^AS$57)*(1+Риски!$B$12)</f>
        <v>81.890099200000009</v>
      </c>
      <c r="AT60" s="153">
        <f>AT35*$C11*('Книга допущений'!$B$20^AT$57)*(1+Риски!$B$12)</f>
        <v>81.890099200000009</v>
      </c>
      <c r="AU60" s="153">
        <f>AU35*$C11*('Книга допущений'!$B$20^AU$57)*(1+Риски!$B$12)</f>
        <v>81.890099200000009</v>
      </c>
      <c r="AV60" s="153">
        <f>AV35*$C11*('Книга допущений'!$B$20^AV$57)*(1+Риски!$B$12)</f>
        <v>81.890099200000009</v>
      </c>
      <c r="AW60" s="153">
        <f>AW35*$C11*('Книга допущений'!$B$20^AW$57)*(1+Риски!$B$12)</f>
        <v>81.890099200000009</v>
      </c>
      <c r="AX60" s="153">
        <f>AX35*$C11*('Книга допущений'!$B$20^AX$57)*(1+Риски!$B$12)</f>
        <v>81.890099200000009</v>
      </c>
      <c r="AY60" s="153">
        <f>AY35*$C11*('Книга допущений'!$B$20^AY$57)*(1+Риски!$B$12)</f>
        <v>81.890099200000009</v>
      </c>
      <c r="AZ60" s="153">
        <f>AZ35*$C11*('Книга допущений'!$B$20^AZ$57)*(1+Риски!$B$12)</f>
        <v>81.890099200000009</v>
      </c>
      <c r="BA60" s="153">
        <f>BA35*$C11*('Книга допущений'!$B$20^BA$57)*(1+Риски!$B$12)</f>
        <v>85.165703168000022</v>
      </c>
      <c r="BB60" s="153">
        <f>BB35*$C11*('Книга допущений'!$B$20^BB$57)*(1+Риски!$B$12)</f>
        <v>85.165703168000022</v>
      </c>
      <c r="BC60" s="153">
        <f>BC35*$C11*('Книга допущений'!$B$20^BC$57)*(1+Риски!$B$12)</f>
        <v>85.165703168000022</v>
      </c>
      <c r="BD60" s="153">
        <f>BD35*$C11*('Книга допущений'!$B$20^BD$57)*(1+Риски!$B$12)</f>
        <v>85.165703168000022</v>
      </c>
      <c r="BE60" s="153">
        <f>BE35*$C11*('Книга допущений'!$B$20^BE$57)*(1+Риски!$B$12)</f>
        <v>85.165703168000022</v>
      </c>
      <c r="BF60" s="153">
        <f>BF35*$C11*('Книга допущений'!$B$20^BF$57)*(1+Риски!$B$12)</f>
        <v>85.165703168000022</v>
      </c>
      <c r="BG60" s="153">
        <f>BG35*$C11*('Книга допущений'!$B$20^BG$57)*(1+Риски!$B$12)</f>
        <v>85.165703168000022</v>
      </c>
      <c r="BH60" s="153">
        <f>BH35*$C11*('Книга допущений'!$B$20^BH$57)*(1+Риски!$B$12)</f>
        <v>85.165703168000022</v>
      </c>
      <c r="BI60" s="153">
        <f>BI35*$C11*('Книга допущений'!$B$20^BI$57)*(1+Риски!$B$12)</f>
        <v>85.165703168000022</v>
      </c>
      <c r="BJ60" s="153">
        <f>BJ35*$C11*('Книга допущений'!$B$20^BJ$57)*(1+Риски!$B$12)</f>
        <v>85.165703168000022</v>
      </c>
      <c r="BK60" s="153">
        <f>BK35*$C11*('Книга допущений'!$B$20^BK$57)*(1+Риски!$B$12)</f>
        <v>85.165703168000022</v>
      </c>
      <c r="BL60" s="153">
        <f>BL35*$C11*('Книга допущений'!$B$20^BL$57)*(1+Риски!$B$12)</f>
        <v>85.165703168000022</v>
      </c>
      <c r="BM60" s="153">
        <f>BM35*$C11*('Книга допущений'!$B$20^BM$57)*(1+Риски!$B$12)</f>
        <v>88.57233129472003</v>
      </c>
      <c r="BN60" s="153">
        <f>BN35*$C11*('Книга допущений'!$B$20^BN$57)*(1+Риски!$B$12)</f>
        <v>88.57233129472003</v>
      </c>
      <c r="BO60" s="153">
        <f>BO35*$C11*('Книга допущений'!$B$20^BO$57)*(1+Риски!$B$12)</f>
        <v>88.57233129472003</v>
      </c>
      <c r="BP60" s="153">
        <f>BP35*$C11*('Книга допущений'!$B$20^BP$57)*(1+Риски!$B$12)</f>
        <v>88.57233129472003</v>
      </c>
      <c r="BQ60" s="153">
        <f>BQ35*$C11*('Книга допущений'!$B$20^BQ$57)*(1+Риски!$B$12)</f>
        <v>88.57233129472003</v>
      </c>
      <c r="BR60" s="153">
        <f>BR35*$C11*('Книга допущений'!$B$20^BR$57)*(1+Риски!$B$12)</f>
        <v>88.57233129472003</v>
      </c>
      <c r="BS60" s="153">
        <f>BS35*$C11*('Книга допущений'!$B$20^BS$57)*(1+Риски!$B$12)</f>
        <v>88.57233129472003</v>
      </c>
      <c r="BT60" s="153">
        <f>BT35*$C11*('Книга допущений'!$B$20^BT$57)*(1+Риски!$B$12)</f>
        <v>88.57233129472003</v>
      </c>
      <c r="BU60" s="153">
        <f>BU35*$C11*('Книга допущений'!$B$20^BU$57)*(1+Риски!$B$12)</f>
        <v>88.57233129472003</v>
      </c>
      <c r="BV60" s="153">
        <f>BV35*$C11*('Книга допущений'!$B$20^BV$57)*(1+Риски!$B$12)</f>
        <v>88.57233129472003</v>
      </c>
      <c r="BW60" s="153">
        <f>BW35*$C11*('Книга допущений'!$B$20^BW$57)*(1+Риски!$B$12)</f>
        <v>88.57233129472003</v>
      </c>
      <c r="BX60" s="153">
        <f>BX35*$C11*('Книга допущений'!$B$20^BX$57)*(1+Риски!$B$12)</f>
        <v>88.57233129472003</v>
      </c>
    </row>
    <row r="61" spans="1:76" s="30" customFormat="1" ht="12.75" customHeight="1" x14ac:dyDescent="0.25">
      <c r="A61" s="152" t="str">
        <f t="shared" si="67"/>
        <v>Менеджер</v>
      </c>
      <c r="B61" s="153">
        <f>B36*$C12*('Книга допущений'!$B$20^B$57)*(1+Риски!$B$12)</f>
        <v>0</v>
      </c>
      <c r="C61" s="153">
        <f>C36*$C12*('Книга допущений'!$B$20^C$57)*(1+Риски!$B$12)</f>
        <v>0</v>
      </c>
      <c r="D61" s="153">
        <f>D36*$C12*('Книга допущений'!$B$20^D$57)*(1+Риски!$B$12)</f>
        <v>0</v>
      </c>
      <c r="E61" s="153">
        <f>E36*$C12*('Книга допущений'!$B$20^E$57)*(1+Риски!$B$12)</f>
        <v>0</v>
      </c>
      <c r="F61" s="153">
        <f>F36*$C12*('Книга допущений'!$B$20^F$57)*(1+Риски!$B$12)</f>
        <v>0</v>
      </c>
      <c r="G61" s="153">
        <f>G36*$C12*('Книга допущений'!$B$20^G$57)*(1+Риски!$B$12)</f>
        <v>0</v>
      </c>
      <c r="H61" s="153">
        <f>H36*$C12*('Книга допущений'!$B$20^H$57)*(1+Риски!$B$12)</f>
        <v>0</v>
      </c>
      <c r="I61" s="153">
        <f>I36*$C12*('Книга допущений'!$B$20^I$57)*(1+Риски!$B$12)</f>
        <v>0</v>
      </c>
      <c r="J61" s="153">
        <f>J36*$C12*('Книга допущений'!$B$20^J$57)*(1+Риски!$B$12)</f>
        <v>145.6</v>
      </c>
      <c r="K61" s="153">
        <f>K36*$C12*('Книга допущений'!$B$20^K$57)*(1+Риски!$B$12)</f>
        <v>145.6</v>
      </c>
      <c r="L61" s="153">
        <f>L36*$C12*('Книга допущений'!$B$20^L$57)*(1+Риски!$B$12)</f>
        <v>145.6</v>
      </c>
      <c r="M61" s="153">
        <f>M36*$C12*('Книга допущений'!$B$20^M$57)*(1+Риски!$B$12)</f>
        <v>145.6</v>
      </c>
      <c r="N61" s="153">
        <f>N36*$C12*('Книга допущений'!$B$20^N$57)*(1+Риски!$B$12)</f>
        <v>145.6</v>
      </c>
      <c r="O61" s="153">
        <f>O36*$C12*('Книга допущений'!$B$20^O$57)*(1+Риски!$B$12)</f>
        <v>145.6</v>
      </c>
      <c r="P61" s="153">
        <f>P36*$C12*('Книга допущений'!$B$20^P$57)*(1+Риски!$B$12)</f>
        <v>145.6</v>
      </c>
      <c r="Q61" s="153">
        <f>Q36*$C12*('Книга допущений'!$B$20^Q$57)*(1+Риски!$B$12)</f>
        <v>151.42400000000001</v>
      </c>
      <c r="R61" s="153">
        <f>R36*$C12*('Книга допущений'!$B$20^R$57)*(1+Риски!$B$12)</f>
        <v>151.42400000000001</v>
      </c>
      <c r="S61" s="153">
        <f>S36*$C12*('Книга допущений'!$B$20^S$57)*(1+Риски!$B$12)</f>
        <v>151.42400000000001</v>
      </c>
      <c r="T61" s="153">
        <f>T36*$C12*('Книга допущений'!$B$20^T$57)*(1+Риски!$B$12)</f>
        <v>151.42400000000001</v>
      </c>
      <c r="U61" s="153">
        <f>U36*$C12*('Книга допущений'!$B$20^U$57)*(1+Риски!$B$12)</f>
        <v>151.42400000000001</v>
      </c>
      <c r="V61" s="153">
        <f>V36*$C12*('Книга допущений'!$B$20^V$57)*(1+Риски!$B$12)</f>
        <v>151.42400000000001</v>
      </c>
      <c r="W61" s="153">
        <f>W36*$C12*('Книга допущений'!$B$20^W$57)*(1+Риски!$B$12)</f>
        <v>151.42400000000001</v>
      </c>
      <c r="X61" s="153">
        <f>X36*$C12*('Книга допущений'!$B$20^X$57)*(1+Риски!$B$12)</f>
        <v>151.42400000000001</v>
      </c>
      <c r="Y61" s="153">
        <f>Y36*$C12*('Книга допущений'!$B$20^Y$57)*(1+Риски!$B$12)</f>
        <v>151.42400000000001</v>
      </c>
      <c r="Z61" s="153">
        <f>Z36*$C12*('Книга допущений'!$B$20^Z$57)*(1+Риски!$B$12)</f>
        <v>151.42400000000001</v>
      </c>
      <c r="AA61" s="153">
        <f>AA36*$C12*('Книга допущений'!$B$20^AA$57)*(1+Риски!$B$12)</f>
        <v>151.42400000000001</v>
      </c>
      <c r="AB61" s="153">
        <f>AB36*$C12*('Книга допущений'!$B$20^AB$57)*(1+Риски!$B$12)</f>
        <v>151.42400000000001</v>
      </c>
      <c r="AC61" s="153">
        <f>AC36*$C12*('Книга допущений'!$B$20^AC$57)*(1+Риски!$B$12)</f>
        <v>157.48096000000001</v>
      </c>
      <c r="AD61" s="153">
        <f>AD36*$C12*('Книга допущений'!$B$20^AD$57)*(1+Риски!$B$12)</f>
        <v>157.48096000000001</v>
      </c>
      <c r="AE61" s="153">
        <f>AE36*$C12*('Книга допущений'!$B$20^AE$57)*(1+Риски!$B$12)</f>
        <v>157.48096000000001</v>
      </c>
      <c r="AF61" s="153">
        <f>AF36*$C12*('Книга допущений'!$B$20^AF$57)*(1+Риски!$B$12)</f>
        <v>157.48096000000001</v>
      </c>
      <c r="AG61" s="153">
        <f>AG36*$C12*('Книга допущений'!$B$20^AG$57)*(1+Риски!$B$12)</f>
        <v>157.48096000000001</v>
      </c>
      <c r="AH61" s="153">
        <f>AH36*$C12*('Книга допущений'!$B$20^AH$57)*(1+Риски!$B$12)</f>
        <v>157.48096000000001</v>
      </c>
      <c r="AI61" s="153">
        <f>AI36*$C12*('Книга допущений'!$B$20^AI$57)*(1+Риски!$B$12)</f>
        <v>157.48096000000001</v>
      </c>
      <c r="AJ61" s="153">
        <f>AJ36*$C12*('Книга допущений'!$B$20^AJ$57)*(1+Риски!$B$12)</f>
        <v>157.48096000000001</v>
      </c>
      <c r="AK61" s="153">
        <f>AK36*$C12*('Книга допущений'!$B$20^AK$57)*(1+Риски!$B$12)</f>
        <v>157.48096000000001</v>
      </c>
      <c r="AL61" s="153">
        <f>AL36*$C12*('Книга допущений'!$B$20^AL$57)*(1+Риски!$B$12)</f>
        <v>157.48096000000001</v>
      </c>
      <c r="AM61" s="153">
        <f>AM36*$C12*('Книга допущений'!$B$20^AM$57)*(1+Риски!$B$12)</f>
        <v>157.48096000000001</v>
      </c>
      <c r="AN61" s="153">
        <f>AN36*$C12*('Книга допущений'!$B$20^AN$57)*(1+Риски!$B$12)</f>
        <v>157.48096000000001</v>
      </c>
      <c r="AO61" s="153">
        <f>AO36*$C12*('Книга допущений'!$B$20^AO$57)*(1+Риски!$B$12)</f>
        <v>163.78019840000002</v>
      </c>
      <c r="AP61" s="153">
        <f>AP36*$C12*('Книга допущений'!$B$20^AP$57)*(1+Риски!$B$12)</f>
        <v>163.78019840000002</v>
      </c>
      <c r="AQ61" s="153">
        <f>AQ36*$C12*('Книга допущений'!$B$20^AQ$57)*(1+Риски!$B$12)</f>
        <v>163.78019840000002</v>
      </c>
      <c r="AR61" s="153">
        <f>AR36*$C12*('Книга допущений'!$B$20^AR$57)*(1+Риски!$B$12)</f>
        <v>163.78019840000002</v>
      </c>
      <c r="AS61" s="153">
        <f>AS36*$C12*('Книга допущений'!$B$20^AS$57)*(1+Риски!$B$12)</f>
        <v>163.78019840000002</v>
      </c>
      <c r="AT61" s="153">
        <f>AT36*$C12*('Книга допущений'!$B$20^AT$57)*(1+Риски!$B$12)</f>
        <v>163.78019840000002</v>
      </c>
      <c r="AU61" s="153">
        <f>AU36*$C12*('Книга допущений'!$B$20^AU$57)*(1+Риски!$B$12)</f>
        <v>163.78019840000002</v>
      </c>
      <c r="AV61" s="153">
        <f>AV36*$C12*('Книга допущений'!$B$20^AV$57)*(1+Риски!$B$12)</f>
        <v>163.78019840000002</v>
      </c>
      <c r="AW61" s="153">
        <f>AW36*$C12*('Книга допущений'!$B$20^AW$57)*(1+Риски!$B$12)</f>
        <v>163.78019840000002</v>
      </c>
      <c r="AX61" s="153">
        <f>AX36*$C12*('Книга допущений'!$B$20^AX$57)*(1+Риски!$B$12)</f>
        <v>163.78019840000002</v>
      </c>
      <c r="AY61" s="153">
        <f>AY36*$C12*('Книга допущений'!$B$20^AY$57)*(1+Риски!$B$12)</f>
        <v>163.78019840000002</v>
      </c>
      <c r="AZ61" s="153">
        <f>AZ36*$C12*('Книга допущений'!$B$20^AZ$57)*(1+Риски!$B$12)</f>
        <v>163.78019840000002</v>
      </c>
      <c r="BA61" s="153">
        <f>BA36*$C12*('Книга допущений'!$B$20^BA$57)*(1+Риски!$B$12)</f>
        <v>170.33140633600004</v>
      </c>
      <c r="BB61" s="153">
        <f>BB36*$C12*('Книга допущений'!$B$20^BB$57)*(1+Риски!$B$12)</f>
        <v>170.33140633600004</v>
      </c>
      <c r="BC61" s="153">
        <f>BC36*$C12*('Книга допущений'!$B$20^BC$57)*(1+Риски!$B$12)</f>
        <v>170.33140633600004</v>
      </c>
      <c r="BD61" s="153">
        <f>BD36*$C12*('Книга допущений'!$B$20^BD$57)*(1+Риски!$B$12)</f>
        <v>170.33140633600004</v>
      </c>
      <c r="BE61" s="153">
        <f>BE36*$C12*('Книга допущений'!$B$20^BE$57)*(1+Риски!$B$12)</f>
        <v>170.33140633600004</v>
      </c>
      <c r="BF61" s="153">
        <f>BF36*$C12*('Книга допущений'!$B$20^BF$57)*(1+Риски!$B$12)</f>
        <v>170.33140633600004</v>
      </c>
      <c r="BG61" s="153">
        <f>BG36*$C12*('Книга допущений'!$B$20^BG$57)*(1+Риски!$B$12)</f>
        <v>170.33140633600004</v>
      </c>
      <c r="BH61" s="153">
        <f>BH36*$C12*('Книга допущений'!$B$20^BH$57)*(1+Риски!$B$12)</f>
        <v>170.33140633600004</v>
      </c>
      <c r="BI61" s="153">
        <f>BI36*$C12*('Книга допущений'!$B$20^BI$57)*(1+Риски!$B$12)</f>
        <v>170.33140633600004</v>
      </c>
      <c r="BJ61" s="153">
        <f>BJ36*$C12*('Книга допущений'!$B$20^BJ$57)*(1+Риски!$B$12)</f>
        <v>170.33140633600004</v>
      </c>
      <c r="BK61" s="153">
        <f>BK36*$C12*('Книга допущений'!$B$20^BK$57)*(1+Риски!$B$12)</f>
        <v>170.33140633600004</v>
      </c>
      <c r="BL61" s="153">
        <f>BL36*$C12*('Книга допущений'!$B$20^BL$57)*(1+Риски!$B$12)</f>
        <v>170.33140633600004</v>
      </c>
      <c r="BM61" s="153">
        <f>BM36*$C12*('Книга допущений'!$B$20^BM$57)*(1+Риски!$B$12)</f>
        <v>177.14466258944006</v>
      </c>
      <c r="BN61" s="153">
        <f>BN36*$C12*('Книга допущений'!$B$20^BN$57)*(1+Риски!$B$12)</f>
        <v>177.14466258944006</v>
      </c>
      <c r="BO61" s="153">
        <f>BO36*$C12*('Книга допущений'!$B$20^BO$57)*(1+Риски!$B$12)</f>
        <v>177.14466258944006</v>
      </c>
      <c r="BP61" s="153">
        <f>BP36*$C12*('Книга допущений'!$B$20^BP$57)*(1+Риски!$B$12)</f>
        <v>177.14466258944006</v>
      </c>
      <c r="BQ61" s="153">
        <f>BQ36*$C12*('Книга допущений'!$B$20^BQ$57)*(1+Риски!$B$12)</f>
        <v>177.14466258944006</v>
      </c>
      <c r="BR61" s="153">
        <f>BR36*$C12*('Книга допущений'!$B$20^BR$57)*(1+Риски!$B$12)</f>
        <v>177.14466258944006</v>
      </c>
      <c r="BS61" s="153">
        <f>BS36*$C12*('Книга допущений'!$B$20^BS$57)*(1+Риски!$B$12)</f>
        <v>177.14466258944006</v>
      </c>
      <c r="BT61" s="153">
        <f>BT36*$C12*('Книга допущений'!$B$20^BT$57)*(1+Риски!$B$12)</f>
        <v>177.14466258944006</v>
      </c>
      <c r="BU61" s="153">
        <f>BU36*$C12*('Книга допущений'!$B$20^BU$57)*(1+Риски!$B$12)</f>
        <v>177.14466258944006</v>
      </c>
      <c r="BV61" s="153">
        <f>BV36*$C12*('Книга допущений'!$B$20^BV$57)*(1+Риски!$B$12)</f>
        <v>177.14466258944006</v>
      </c>
      <c r="BW61" s="153">
        <f>BW36*$C12*('Книга допущений'!$B$20^BW$57)*(1+Риски!$B$12)</f>
        <v>177.14466258944006</v>
      </c>
      <c r="BX61" s="153">
        <f>BX36*$C12*('Книга допущений'!$B$20^BX$57)*(1+Риски!$B$12)</f>
        <v>177.14466258944006</v>
      </c>
    </row>
    <row r="62" spans="1:76" s="30" customFormat="1" ht="12.75" customHeight="1" x14ac:dyDescent="0.25">
      <c r="A62" s="152" t="str">
        <f t="shared" si="67"/>
        <v>Бухгалтер</v>
      </c>
      <c r="B62" s="153">
        <f>B37*$C13*('Книга допущений'!$B$20^B$57)*(1+Риски!$B$12)</f>
        <v>0</v>
      </c>
      <c r="C62" s="153">
        <f>C37*$C13*('Книга допущений'!$B$20^C$57)*(1+Риски!$B$12)</f>
        <v>0</v>
      </c>
      <c r="D62" s="153">
        <f>D37*$C13*('Книга допущений'!$B$20^D$57)*(1+Риски!$B$12)</f>
        <v>0</v>
      </c>
      <c r="E62" s="153">
        <f>E37*$C13*('Книга допущений'!$B$20^E$57)*(1+Риски!$B$12)</f>
        <v>0</v>
      </c>
      <c r="F62" s="153">
        <f>F37*$C13*('Книга допущений'!$B$20^F$57)*(1+Риски!$B$12)</f>
        <v>0</v>
      </c>
      <c r="G62" s="153">
        <f>G37*$C13*('Книга допущений'!$B$20^G$57)*(1+Риски!$B$12)</f>
        <v>0</v>
      </c>
      <c r="H62" s="153">
        <f>H37*$C13*('Книга допущений'!$B$20^H$57)*(1+Риски!$B$12)</f>
        <v>0</v>
      </c>
      <c r="I62" s="153">
        <f>I37*$C13*('Книга допущений'!$B$20^I$57)*(1+Риски!$B$12)</f>
        <v>0</v>
      </c>
      <c r="J62" s="153">
        <f>J37*$C13*('Книга допущений'!$B$20^J$57)*(1+Риски!$B$12)</f>
        <v>0</v>
      </c>
      <c r="K62" s="153">
        <f>K37*$C13*('Книга допущений'!$B$20^K$57)*(1+Риски!$B$12)</f>
        <v>15.600000000000001</v>
      </c>
      <c r="L62" s="153">
        <f>L37*$C13*('Книга допущений'!$B$20^L$57)*(1+Риски!$B$12)</f>
        <v>15.600000000000001</v>
      </c>
      <c r="M62" s="153">
        <f>M37*$C13*('Книга допущений'!$B$20^M$57)*(1+Риски!$B$12)</f>
        <v>15.600000000000001</v>
      </c>
      <c r="N62" s="153">
        <f>N37*$C13*('Книга допущений'!$B$20^N$57)*(1+Риски!$B$12)</f>
        <v>15.600000000000001</v>
      </c>
      <c r="O62" s="153">
        <f>O37*$C13*('Книга допущений'!$B$20^O$57)*(1+Риски!$B$12)</f>
        <v>15.600000000000001</v>
      </c>
      <c r="P62" s="153">
        <f>P37*$C13*('Книга допущений'!$B$20^P$57)*(1+Риски!$B$12)</f>
        <v>15.600000000000001</v>
      </c>
      <c r="Q62" s="153">
        <f>Q37*$C13*('Книга допущений'!$B$20^Q$57)*(1+Риски!$B$12)</f>
        <v>16.224</v>
      </c>
      <c r="R62" s="153">
        <f>R37*$C13*('Книга допущений'!$B$20^R$57)*(1+Риски!$B$12)</f>
        <v>16.224</v>
      </c>
      <c r="S62" s="153">
        <f>S37*$C13*('Книга допущений'!$B$20^S$57)*(1+Риски!$B$12)</f>
        <v>16.224</v>
      </c>
      <c r="T62" s="153">
        <f>T37*$C13*('Книга допущений'!$B$20^T$57)*(1+Риски!$B$12)</f>
        <v>16.224</v>
      </c>
      <c r="U62" s="153">
        <f>U37*$C13*('Книга допущений'!$B$20^U$57)*(1+Риски!$B$12)</f>
        <v>16.224</v>
      </c>
      <c r="V62" s="153">
        <f>V37*$C13*('Книга допущений'!$B$20^V$57)*(1+Риски!$B$12)</f>
        <v>16.224</v>
      </c>
      <c r="W62" s="153">
        <f>W37*$C13*('Книга допущений'!$B$20^W$57)*(1+Риски!$B$12)</f>
        <v>16.224</v>
      </c>
      <c r="X62" s="153">
        <f>X37*$C13*('Книга допущений'!$B$20^X$57)*(1+Риски!$B$12)</f>
        <v>16.224</v>
      </c>
      <c r="Y62" s="153">
        <f>Y37*$C13*('Книга допущений'!$B$20^Y$57)*(1+Риски!$B$12)</f>
        <v>16.224</v>
      </c>
      <c r="Z62" s="153">
        <f>Z37*$C13*('Книга допущений'!$B$20^Z$57)*(1+Риски!$B$12)</f>
        <v>16.224</v>
      </c>
      <c r="AA62" s="153">
        <f>AA37*$C13*('Книга допущений'!$B$20^AA$57)*(1+Риски!$B$12)</f>
        <v>16.224</v>
      </c>
      <c r="AB62" s="153">
        <f>AB37*$C13*('Книга допущений'!$B$20^AB$57)*(1+Риски!$B$12)</f>
        <v>16.224</v>
      </c>
      <c r="AC62" s="153">
        <f>AC37*$C13*('Книга допущений'!$B$20^AC$57)*(1+Риски!$B$12)</f>
        <v>16.872960000000003</v>
      </c>
      <c r="AD62" s="153">
        <f>AD37*$C13*('Книга допущений'!$B$20^AD$57)*(1+Риски!$B$12)</f>
        <v>16.872960000000003</v>
      </c>
      <c r="AE62" s="153">
        <f>AE37*$C13*('Книга допущений'!$B$20^AE$57)*(1+Риски!$B$12)</f>
        <v>16.872960000000003</v>
      </c>
      <c r="AF62" s="153">
        <f>AF37*$C13*('Книга допущений'!$B$20^AF$57)*(1+Риски!$B$12)</f>
        <v>16.872960000000003</v>
      </c>
      <c r="AG62" s="153">
        <f>AG37*$C13*('Книга допущений'!$B$20^AG$57)*(1+Риски!$B$12)</f>
        <v>16.872960000000003</v>
      </c>
      <c r="AH62" s="153">
        <f>AH37*$C13*('Книга допущений'!$B$20^AH$57)*(1+Риски!$B$12)</f>
        <v>16.872960000000003</v>
      </c>
      <c r="AI62" s="153">
        <f>AI37*$C13*('Книга допущений'!$B$20^AI$57)*(1+Риски!$B$12)</f>
        <v>16.872960000000003</v>
      </c>
      <c r="AJ62" s="153">
        <f>AJ37*$C13*('Книга допущений'!$B$20^AJ$57)*(1+Риски!$B$12)</f>
        <v>16.872960000000003</v>
      </c>
      <c r="AK62" s="153">
        <f>AK37*$C13*('Книга допущений'!$B$20^AK$57)*(1+Риски!$B$12)</f>
        <v>16.872960000000003</v>
      </c>
      <c r="AL62" s="153">
        <f>AL37*$C13*('Книга допущений'!$B$20^AL$57)*(1+Риски!$B$12)</f>
        <v>16.872960000000003</v>
      </c>
      <c r="AM62" s="153">
        <f>AM37*$C13*('Книга допущений'!$B$20^AM$57)*(1+Риски!$B$12)</f>
        <v>16.872960000000003</v>
      </c>
      <c r="AN62" s="153">
        <f>AN37*$C13*('Книга допущений'!$B$20^AN$57)*(1+Риски!$B$12)</f>
        <v>16.872960000000003</v>
      </c>
      <c r="AO62" s="153">
        <f>AO37*$C13*('Книга допущений'!$B$20^AO$57)*(1+Риски!$B$12)</f>
        <v>17.547878400000002</v>
      </c>
      <c r="AP62" s="153">
        <f>AP37*$C13*('Книга допущений'!$B$20^AP$57)*(1+Риски!$B$12)</f>
        <v>17.547878400000002</v>
      </c>
      <c r="AQ62" s="153">
        <f>AQ37*$C13*('Книга допущений'!$B$20^AQ$57)*(1+Риски!$B$12)</f>
        <v>17.547878400000002</v>
      </c>
      <c r="AR62" s="153">
        <f>AR37*$C13*('Книга допущений'!$B$20^AR$57)*(1+Риски!$B$12)</f>
        <v>17.547878400000002</v>
      </c>
      <c r="AS62" s="153">
        <f>AS37*$C13*('Книга допущений'!$B$20^AS$57)*(1+Риски!$B$12)</f>
        <v>17.547878400000002</v>
      </c>
      <c r="AT62" s="153">
        <f>AT37*$C13*('Книга допущений'!$B$20^AT$57)*(1+Риски!$B$12)</f>
        <v>17.547878400000002</v>
      </c>
      <c r="AU62" s="153">
        <f>AU37*$C13*('Книга допущений'!$B$20^AU$57)*(1+Риски!$B$12)</f>
        <v>17.547878400000002</v>
      </c>
      <c r="AV62" s="153">
        <f>AV37*$C13*('Книга допущений'!$B$20^AV$57)*(1+Риски!$B$12)</f>
        <v>17.547878400000002</v>
      </c>
      <c r="AW62" s="153">
        <f>AW37*$C13*('Книга допущений'!$B$20^AW$57)*(1+Риски!$B$12)</f>
        <v>17.547878400000002</v>
      </c>
      <c r="AX62" s="153">
        <f>AX37*$C13*('Книга допущений'!$B$20^AX$57)*(1+Риски!$B$12)</f>
        <v>17.547878400000002</v>
      </c>
      <c r="AY62" s="153">
        <f>AY37*$C13*('Книга допущений'!$B$20^AY$57)*(1+Риски!$B$12)</f>
        <v>17.547878400000002</v>
      </c>
      <c r="AZ62" s="153">
        <f>AZ37*$C13*('Книга допущений'!$B$20^AZ$57)*(1+Риски!$B$12)</f>
        <v>17.547878400000002</v>
      </c>
      <c r="BA62" s="153">
        <f>BA37*$C13*('Книга допущений'!$B$20^BA$57)*(1+Риски!$B$12)</f>
        <v>18.249793536000006</v>
      </c>
      <c r="BB62" s="153">
        <f>BB37*$C13*('Книга допущений'!$B$20^BB$57)*(1+Риски!$B$12)</f>
        <v>18.249793536000006</v>
      </c>
      <c r="BC62" s="153">
        <f>BC37*$C13*('Книга допущений'!$B$20^BC$57)*(1+Риски!$B$12)</f>
        <v>18.249793536000006</v>
      </c>
      <c r="BD62" s="153">
        <f>BD37*$C13*('Книга допущений'!$B$20^BD$57)*(1+Риски!$B$12)</f>
        <v>18.249793536000006</v>
      </c>
      <c r="BE62" s="153">
        <f>BE37*$C13*('Книга допущений'!$B$20^BE$57)*(1+Риски!$B$12)</f>
        <v>18.249793536000006</v>
      </c>
      <c r="BF62" s="153">
        <f>BF37*$C13*('Книга допущений'!$B$20^BF$57)*(1+Риски!$B$12)</f>
        <v>18.249793536000006</v>
      </c>
      <c r="BG62" s="153">
        <f>BG37*$C13*('Книга допущений'!$B$20^BG$57)*(1+Риски!$B$12)</f>
        <v>18.249793536000006</v>
      </c>
      <c r="BH62" s="153">
        <f>BH37*$C13*('Книга допущений'!$B$20^BH$57)*(1+Риски!$B$12)</f>
        <v>18.249793536000006</v>
      </c>
      <c r="BI62" s="153">
        <f>BI37*$C13*('Книга допущений'!$B$20^BI$57)*(1+Риски!$B$12)</f>
        <v>18.249793536000006</v>
      </c>
      <c r="BJ62" s="153">
        <f>BJ37*$C13*('Книга допущений'!$B$20^BJ$57)*(1+Риски!$B$12)</f>
        <v>18.249793536000006</v>
      </c>
      <c r="BK62" s="153">
        <f>BK37*$C13*('Книга допущений'!$B$20^BK$57)*(1+Риски!$B$12)</f>
        <v>18.249793536000006</v>
      </c>
      <c r="BL62" s="153">
        <f>BL37*$C13*('Книга допущений'!$B$20^BL$57)*(1+Риски!$B$12)</f>
        <v>18.249793536000006</v>
      </c>
      <c r="BM62" s="153">
        <f>BM37*$C13*('Книга допущений'!$B$20^BM$57)*(1+Риски!$B$12)</f>
        <v>18.979785277440005</v>
      </c>
      <c r="BN62" s="153">
        <f>BN37*$C13*('Книга допущений'!$B$20^BN$57)*(1+Риски!$B$12)</f>
        <v>18.979785277440005</v>
      </c>
      <c r="BO62" s="153">
        <f>BO37*$C13*('Книга допущений'!$B$20^BO$57)*(1+Риски!$B$12)</f>
        <v>18.979785277440005</v>
      </c>
      <c r="BP62" s="153">
        <f>BP37*$C13*('Книга допущений'!$B$20^BP$57)*(1+Риски!$B$12)</f>
        <v>18.979785277440005</v>
      </c>
      <c r="BQ62" s="153">
        <f>BQ37*$C13*('Книга допущений'!$B$20^BQ$57)*(1+Риски!$B$12)</f>
        <v>18.979785277440005</v>
      </c>
      <c r="BR62" s="153">
        <f>BR37*$C13*('Книга допущений'!$B$20^BR$57)*(1+Риски!$B$12)</f>
        <v>18.979785277440005</v>
      </c>
      <c r="BS62" s="153">
        <f>BS37*$C13*('Книга допущений'!$B$20^BS$57)*(1+Риски!$B$12)</f>
        <v>18.979785277440005</v>
      </c>
      <c r="BT62" s="153">
        <f>BT37*$C13*('Книга допущений'!$B$20^BT$57)*(1+Риски!$B$12)</f>
        <v>18.979785277440005</v>
      </c>
      <c r="BU62" s="153">
        <f>BU37*$C13*('Книга допущений'!$B$20^BU$57)*(1+Риски!$B$12)</f>
        <v>18.979785277440005</v>
      </c>
      <c r="BV62" s="153">
        <f>BV37*$C13*('Книга допущений'!$B$20^BV$57)*(1+Риски!$B$12)</f>
        <v>18.979785277440005</v>
      </c>
      <c r="BW62" s="153">
        <f>BW37*$C13*('Книга допущений'!$B$20^BW$57)*(1+Риски!$B$12)</f>
        <v>18.979785277440005</v>
      </c>
      <c r="BX62" s="153">
        <f>BX37*$C13*('Книга допущений'!$B$20^BX$57)*(1+Риски!$B$12)</f>
        <v>18.979785277440005</v>
      </c>
    </row>
    <row r="63" spans="1:76" s="30" customFormat="1" ht="12.75" customHeight="1" x14ac:dyDescent="0.25">
      <c r="A63" s="382" t="str">
        <f t="shared" si="67"/>
        <v>Служба размещения</v>
      </c>
      <c r="B63" s="383">
        <f>SUM(B64:B67)</f>
        <v>0</v>
      </c>
      <c r="C63" s="383">
        <f t="shared" ref="C63:BN63" si="70">SUM(C64:C67)</f>
        <v>0</v>
      </c>
      <c r="D63" s="383">
        <f t="shared" si="70"/>
        <v>0</v>
      </c>
      <c r="E63" s="383">
        <f t="shared" si="70"/>
        <v>0</v>
      </c>
      <c r="F63" s="383">
        <f t="shared" si="70"/>
        <v>0</v>
      </c>
      <c r="G63" s="383">
        <f t="shared" si="70"/>
        <v>0</v>
      </c>
      <c r="H63" s="383">
        <f t="shared" si="70"/>
        <v>0</v>
      </c>
      <c r="I63" s="383">
        <f t="shared" si="70"/>
        <v>0</v>
      </c>
      <c r="J63" s="383">
        <f t="shared" si="70"/>
        <v>0</v>
      </c>
      <c r="K63" s="383">
        <f t="shared" si="70"/>
        <v>244.4</v>
      </c>
      <c r="L63" s="383">
        <f t="shared" si="70"/>
        <v>244.4</v>
      </c>
      <c r="M63" s="383">
        <f t="shared" si="70"/>
        <v>244.4</v>
      </c>
      <c r="N63" s="383">
        <f t="shared" si="70"/>
        <v>244.4</v>
      </c>
      <c r="O63" s="383">
        <f t="shared" si="70"/>
        <v>244.4</v>
      </c>
      <c r="P63" s="383">
        <f t="shared" si="70"/>
        <v>244.4</v>
      </c>
      <c r="Q63" s="383">
        <f t="shared" si="70"/>
        <v>254.17600000000002</v>
      </c>
      <c r="R63" s="383">
        <f t="shared" si="70"/>
        <v>254.17600000000002</v>
      </c>
      <c r="S63" s="383">
        <f t="shared" si="70"/>
        <v>254.17600000000002</v>
      </c>
      <c r="T63" s="383">
        <f t="shared" si="70"/>
        <v>254.17600000000002</v>
      </c>
      <c r="U63" s="383">
        <f t="shared" si="70"/>
        <v>254.17600000000002</v>
      </c>
      <c r="V63" s="383">
        <f t="shared" si="70"/>
        <v>254.17600000000002</v>
      </c>
      <c r="W63" s="383">
        <f t="shared" si="70"/>
        <v>254.17600000000002</v>
      </c>
      <c r="X63" s="383">
        <f t="shared" si="70"/>
        <v>254.17600000000002</v>
      </c>
      <c r="Y63" s="383">
        <f t="shared" si="70"/>
        <v>254.17600000000002</v>
      </c>
      <c r="Z63" s="383">
        <f t="shared" si="70"/>
        <v>254.17600000000002</v>
      </c>
      <c r="AA63" s="383">
        <f t="shared" si="70"/>
        <v>254.17600000000002</v>
      </c>
      <c r="AB63" s="383">
        <f t="shared" si="70"/>
        <v>254.17600000000002</v>
      </c>
      <c r="AC63" s="383">
        <f t="shared" si="70"/>
        <v>264.34304000000003</v>
      </c>
      <c r="AD63" s="383">
        <f t="shared" si="70"/>
        <v>264.34304000000003</v>
      </c>
      <c r="AE63" s="383">
        <f t="shared" si="70"/>
        <v>264.34304000000003</v>
      </c>
      <c r="AF63" s="383">
        <f t="shared" si="70"/>
        <v>264.34304000000003</v>
      </c>
      <c r="AG63" s="383">
        <f t="shared" si="70"/>
        <v>264.34304000000003</v>
      </c>
      <c r="AH63" s="383">
        <f t="shared" si="70"/>
        <v>264.34304000000003</v>
      </c>
      <c r="AI63" s="383">
        <f t="shared" si="70"/>
        <v>264.34304000000003</v>
      </c>
      <c r="AJ63" s="383">
        <f t="shared" si="70"/>
        <v>264.34304000000003</v>
      </c>
      <c r="AK63" s="383">
        <f t="shared" si="70"/>
        <v>264.34304000000003</v>
      </c>
      <c r="AL63" s="383">
        <f t="shared" si="70"/>
        <v>264.34304000000003</v>
      </c>
      <c r="AM63" s="383">
        <f t="shared" si="70"/>
        <v>264.34304000000003</v>
      </c>
      <c r="AN63" s="383">
        <f t="shared" si="70"/>
        <v>264.34304000000003</v>
      </c>
      <c r="AO63" s="383">
        <f t="shared" si="70"/>
        <v>274.91676160000009</v>
      </c>
      <c r="AP63" s="383">
        <f t="shared" si="70"/>
        <v>274.91676160000009</v>
      </c>
      <c r="AQ63" s="383">
        <f t="shared" si="70"/>
        <v>274.91676160000009</v>
      </c>
      <c r="AR63" s="383">
        <f t="shared" si="70"/>
        <v>274.91676160000009</v>
      </c>
      <c r="AS63" s="383">
        <f t="shared" si="70"/>
        <v>274.91676160000009</v>
      </c>
      <c r="AT63" s="383">
        <f t="shared" si="70"/>
        <v>274.91676160000009</v>
      </c>
      <c r="AU63" s="383">
        <f t="shared" si="70"/>
        <v>274.91676160000009</v>
      </c>
      <c r="AV63" s="383">
        <f t="shared" si="70"/>
        <v>274.91676160000009</v>
      </c>
      <c r="AW63" s="383">
        <f t="shared" si="70"/>
        <v>274.91676160000009</v>
      </c>
      <c r="AX63" s="383">
        <f t="shared" si="70"/>
        <v>274.91676160000009</v>
      </c>
      <c r="AY63" s="383">
        <f t="shared" si="70"/>
        <v>274.91676160000009</v>
      </c>
      <c r="AZ63" s="383">
        <f t="shared" si="70"/>
        <v>274.91676160000009</v>
      </c>
      <c r="BA63" s="383">
        <f t="shared" si="70"/>
        <v>285.91343206400006</v>
      </c>
      <c r="BB63" s="383">
        <f t="shared" si="70"/>
        <v>285.91343206400006</v>
      </c>
      <c r="BC63" s="383">
        <f t="shared" si="70"/>
        <v>285.91343206400006</v>
      </c>
      <c r="BD63" s="383">
        <f t="shared" si="70"/>
        <v>285.91343206400006</v>
      </c>
      <c r="BE63" s="383">
        <f t="shared" si="70"/>
        <v>285.91343206400006</v>
      </c>
      <c r="BF63" s="383">
        <f t="shared" si="70"/>
        <v>285.91343206400006</v>
      </c>
      <c r="BG63" s="383">
        <f t="shared" si="70"/>
        <v>285.91343206400006</v>
      </c>
      <c r="BH63" s="383">
        <f t="shared" si="70"/>
        <v>285.91343206400006</v>
      </c>
      <c r="BI63" s="383">
        <f t="shared" si="70"/>
        <v>285.91343206400006</v>
      </c>
      <c r="BJ63" s="383">
        <f t="shared" si="70"/>
        <v>285.91343206400006</v>
      </c>
      <c r="BK63" s="383">
        <f t="shared" si="70"/>
        <v>285.91343206400006</v>
      </c>
      <c r="BL63" s="383">
        <f t="shared" si="70"/>
        <v>285.91343206400006</v>
      </c>
      <c r="BM63" s="383">
        <f t="shared" si="70"/>
        <v>297.34996934656004</v>
      </c>
      <c r="BN63" s="383">
        <f t="shared" si="70"/>
        <v>297.34996934656004</v>
      </c>
      <c r="BO63" s="383">
        <f t="shared" ref="BO63:BX63" si="71">SUM(BO64:BO67)</f>
        <v>297.34996934656004</v>
      </c>
      <c r="BP63" s="383">
        <f t="shared" si="71"/>
        <v>297.34996934656004</v>
      </c>
      <c r="BQ63" s="383">
        <f t="shared" si="71"/>
        <v>297.34996934656004</v>
      </c>
      <c r="BR63" s="383">
        <f t="shared" si="71"/>
        <v>297.34996934656004</v>
      </c>
      <c r="BS63" s="383">
        <f t="shared" si="71"/>
        <v>297.34996934656004</v>
      </c>
      <c r="BT63" s="383">
        <f t="shared" si="71"/>
        <v>297.34996934656004</v>
      </c>
      <c r="BU63" s="383">
        <f t="shared" si="71"/>
        <v>297.34996934656004</v>
      </c>
      <c r="BV63" s="383">
        <f t="shared" si="71"/>
        <v>297.34996934656004</v>
      </c>
      <c r="BW63" s="383">
        <f t="shared" si="71"/>
        <v>297.34996934656004</v>
      </c>
      <c r="BX63" s="383">
        <f t="shared" si="71"/>
        <v>297.34996934656004</v>
      </c>
    </row>
    <row r="64" spans="1:76" s="30" customFormat="1" ht="12.75" customHeight="1" x14ac:dyDescent="0.25">
      <c r="A64" s="152" t="str">
        <f t="shared" si="67"/>
        <v xml:space="preserve">Администратор </v>
      </c>
      <c r="B64" s="153">
        <f>B39*$C15*('Книга допущений'!$B$20^B$57)*(1+Риски!$B$12)</f>
        <v>0</v>
      </c>
      <c r="C64" s="153">
        <f>C39*$C15*('Книга допущений'!$B$20^C$57)*(1+Риски!$B$12)</f>
        <v>0</v>
      </c>
      <c r="D64" s="153">
        <f>D39*$C15*('Книга допущений'!$B$20^D$57)*(1+Риски!$B$12)</f>
        <v>0</v>
      </c>
      <c r="E64" s="153">
        <f>E39*$C15*('Книга допущений'!$B$20^E$57)*(1+Риски!$B$12)</f>
        <v>0</v>
      </c>
      <c r="F64" s="153">
        <f>F39*$C15*('Книга допущений'!$B$20^F$57)*(1+Риски!$B$12)</f>
        <v>0</v>
      </c>
      <c r="G64" s="153">
        <f>G39*$C15*('Книга допущений'!$B$20^G$57)*(1+Риски!$B$12)</f>
        <v>0</v>
      </c>
      <c r="H64" s="153">
        <f>H39*$C15*('Книга допущений'!$B$20^H$57)*(1+Риски!$B$12)</f>
        <v>0</v>
      </c>
      <c r="I64" s="153">
        <f>I39*$C15*('Книга допущений'!$B$20^I$57)*(1+Риски!$B$12)</f>
        <v>0</v>
      </c>
      <c r="J64" s="153">
        <f>J39*$C15*('Книга допущений'!$B$20^J$57)*(1+Риски!$B$12)</f>
        <v>0</v>
      </c>
      <c r="K64" s="153">
        <f>K39*$C15*('Книга допущений'!$B$20^K$57)*(1+Риски!$B$12)</f>
        <v>104</v>
      </c>
      <c r="L64" s="153">
        <f>L39*$C15*('Книга допущений'!$B$20^L$57)*(1+Риски!$B$12)</f>
        <v>104</v>
      </c>
      <c r="M64" s="153">
        <f>M39*$C15*('Книга допущений'!$B$20^M$57)*(1+Риски!$B$12)</f>
        <v>104</v>
      </c>
      <c r="N64" s="153">
        <f>N39*$C15*('Книга допущений'!$B$20^N$57)*(1+Риски!$B$12)</f>
        <v>104</v>
      </c>
      <c r="O64" s="153">
        <f>O39*$C15*('Книга допущений'!$B$20^O$57)*(1+Риски!$B$12)</f>
        <v>104</v>
      </c>
      <c r="P64" s="153">
        <f>P39*$C15*('Книга допущений'!$B$20^P$57)*(1+Риски!$B$12)</f>
        <v>104</v>
      </c>
      <c r="Q64" s="153">
        <f>Q39*$C15*('Книга допущений'!$B$20^Q$57)*(1+Риски!$B$12)</f>
        <v>108.16000000000001</v>
      </c>
      <c r="R64" s="153">
        <f>R39*$C15*('Книга допущений'!$B$20^R$57)*(1+Риски!$B$12)</f>
        <v>108.16000000000001</v>
      </c>
      <c r="S64" s="153">
        <f>S39*$C15*('Книга допущений'!$B$20^S$57)*(1+Риски!$B$12)</f>
        <v>108.16000000000001</v>
      </c>
      <c r="T64" s="153">
        <f>T39*$C15*('Книга допущений'!$B$20^T$57)*(1+Риски!$B$12)</f>
        <v>108.16000000000001</v>
      </c>
      <c r="U64" s="153">
        <f>U39*$C15*('Книга допущений'!$B$20^U$57)*(1+Риски!$B$12)</f>
        <v>108.16000000000001</v>
      </c>
      <c r="V64" s="153">
        <f>V39*$C15*('Книга допущений'!$B$20^V$57)*(1+Риски!$B$12)</f>
        <v>108.16000000000001</v>
      </c>
      <c r="W64" s="153">
        <f>W39*$C15*('Книга допущений'!$B$20^W$57)*(1+Риски!$B$12)</f>
        <v>108.16000000000001</v>
      </c>
      <c r="X64" s="153">
        <f>X39*$C15*('Книга допущений'!$B$20^X$57)*(1+Риски!$B$12)</f>
        <v>108.16000000000001</v>
      </c>
      <c r="Y64" s="153">
        <f>Y39*$C15*('Книга допущений'!$B$20^Y$57)*(1+Риски!$B$12)</f>
        <v>108.16000000000001</v>
      </c>
      <c r="Z64" s="153">
        <f>Z39*$C15*('Книга допущений'!$B$20^Z$57)*(1+Риски!$B$12)</f>
        <v>108.16000000000001</v>
      </c>
      <c r="AA64" s="153">
        <f>AA39*$C15*('Книга допущений'!$B$20^AA$57)*(1+Риски!$B$12)</f>
        <v>108.16000000000001</v>
      </c>
      <c r="AB64" s="153">
        <f>AB39*$C15*('Книга допущений'!$B$20^AB$57)*(1+Риски!$B$12)</f>
        <v>108.16000000000001</v>
      </c>
      <c r="AC64" s="153">
        <f>AC39*$C15*('Книга допущений'!$B$20^AC$57)*(1+Риски!$B$12)</f>
        <v>112.4864</v>
      </c>
      <c r="AD64" s="153">
        <f>AD39*$C15*('Книга допущений'!$B$20^AD$57)*(1+Риски!$B$12)</f>
        <v>112.4864</v>
      </c>
      <c r="AE64" s="153">
        <f>AE39*$C15*('Книга допущений'!$B$20^AE$57)*(1+Риски!$B$12)</f>
        <v>112.4864</v>
      </c>
      <c r="AF64" s="153">
        <f>AF39*$C15*('Книга допущений'!$B$20^AF$57)*(1+Риски!$B$12)</f>
        <v>112.4864</v>
      </c>
      <c r="AG64" s="153">
        <f>AG39*$C15*('Книга допущений'!$B$20^AG$57)*(1+Риски!$B$12)</f>
        <v>112.4864</v>
      </c>
      <c r="AH64" s="153">
        <f>AH39*$C15*('Книга допущений'!$B$20^AH$57)*(1+Риски!$B$12)</f>
        <v>112.4864</v>
      </c>
      <c r="AI64" s="153">
        <f>AI39*$C15*('Книга допущений'!$B$20^AI$57)*(1+Риски!$B$12)</f>
        <v>112.4864</v>
      </c>
      <c r="AJ64" s="153">
        <f>AJ39*$C15*('Книга допущений'!$B$20^AJ$57)*(1+Риски!$B$12)</f>
        <v>112.4864</v>
      </c>
      <c r="AK64" s="153">
        <f>AK39*$C15*('Книга допущений'!$B$20^AK$57)*(1+Риски!$B$12)</f>
        <v>112.4864</v>
      </c>
      <c r="AL64" s="153">
        <f>AL39*$C15*('Книга допущений'!$B$20^AL$57)*(1+Риски!$B$12)</f>
        <v>112.4864</v>
      </c>
      <c r="AM64" s="153">
        <f>AM39*$C15*('Книга допущений'!$B$20^AM$57)*(1+Риски!$B$12)</f>
        <v>112.4864</v>
      </c>
      <c r="AN64" s="153">
        <f>AN39*$C15*('Книга допущений'!$B$20^AN$57)*(1+Риски!$B$12)</f>
        <v>112.4864</v>
      </c>
      <c r="AO64" s="153">
        <f>AO39*$C15*('Книга допущений'!$B$20^AO$57)*(1+Риски!$B$12)</f>
        <v>116.98585600000003</v>
      </c>
      <c r="AP64" s="153">
        <f>AP39*$C15*('Книга допущений'!$B$20^AP$57)*(1+Риски!$B$12)</f>
        <v>116.98585600000003</v>
      </c>
      <c r="AQ64" s="153">
        <f>AQ39*$C15*('Книга допущений'!$B$20^AQ$57)*(1+Риски!$B$12)</f>
        <v>116.98585600000003</v>
      </c>
      <c r="AR64" s="153">
        <f>AR39*$C15*('Книга допущений'!$B$20^AR$57)*(1+Риски!$B$12)</f>
        <v>116.98585600000003</v>
      </c>
      <c r="AS64" s="153">
        <f>AS39*$C15*('Книга допущений'!$B$20^AS$57)*(1+Риски!$B$12)</f>
        <v>116.98585600000003</v>
      </c>
      <c r="AT64" s="153">
        <f>AT39*$C15*('Книга допущений'!$B$20^AT$57)*(1+Риски!$B$12)</f>
        <v>116.98585600000003</v>
      </c>
      <c r="AU64" s="153">
        <f>AU39*$C15*('Книга допущений'!$B$20^AU$57)*(1+Риски!$B$12)</f>
        <v>116.98585600000003</v>
      </c>
      <c r="AV64" s="153">
        <f>AV39*$C15*('Книга допущений'!$B$20^AV$57)*(1+Риски!$B$12)</f>
        <v>116.98585600000003</v>
      </c>
      <c r="AW64" s="153">
        <f>AW39*$C15*('Книга допущений'!$B$20^AW$57)*(1+Риски!$B$12)</f>
        <v>116.98585600000003</v>
      </c>
      <c r="AX64" s="153">
        <f>AX39*$C15*('Книга допущений'!$B$20^AX$57)*(1+Риски!$B$12)</f>
        <v>116.98585600000003</v>
      </c>
      <c r="AY64" s="153">
        <f>AY39*$C15*('Книга допущений'!$B$20^AY$57)*(1+Риски!$B$12)</f>
        <v>116.98585600000003</v>
      </c>
      <c r="AZ64" s="153">
        <f>AZ39*$C15*('Книга допущений'!$B$20^AZ$57)*(1+Риски!$B$12)</f>
        <v>116.98585600000003</v>
      </c>
      <c r="BA64" s="153">
        <f>BA39*$C15*('Книга допущений'!$B$20^BA$57)*(1+Риски!$B$12)</f>
        <v>121.66529024000003</v>
      </c>
      <c r="BB64" s="153">
        <f>BB39*$C15*('Книга допущений'!$B$20^BB$57)*(1+Риски!$B$12)</f>
        <v>121.66529024000003</v>
      </c>
      <c r="BC64" s="153">
        <f>BC39*$C15*('Книга допущений'!$B$20^BC$57)*(1+Риски!$B$12)</f>
        <v>121.66529024000003</v>
      </c>
      <c r="BD64" s="153">
        <f>BD39*$C15*('Книга допущений'!$B$20^BD$57)*(1+Риски!$B$12)</f>
        <v>121.66529024000003</v>
      </c>
      <c r="BE64" s="153">
        <f>BE39*$C15*('Книга допущений'!$B$20^BE$57)*(1+Риски!$B$12)</f>
        <v>121.66529024000003</v>
      </c>
      <c r="BF64" s="153">
        <f>BF39*$C15*('Книга допущений'!$B$20^BF$57)*(1+Риски!$B$12)</f>
        <v>121.66529024000003</v>
      </c>
      <c r="BG64" s="153">
        <f>BG39*$C15*('Книга допущений'!$B$20^BG$57)*(1+Риски!$B$12)</f>
        <v>121.66529024000003</v>
      </c>
      <c r="BH64" s="153">
        <f>BH39*$C15*('Книга допущений'!$B$20^BH$57)*(1+Риски!$B$12)</f>
        <v>121.66529024000003</v>
      </c>
      <c r="BI64" s="153">
        <f>BI39*$C15*('Книга допущений'!$B$20^BI$57)*(1+Риски!$B$12)</f>
        <v>121.66529024000003</v>
      </c>
      <c r="BJ64" s="153">
        <f>BJ39*$C15*('Книга допущений'!$B$20^BJ$57)*(1+Риски!$B$12)</f>
        <v>121.66529024000003</v>
      </c>
      <c r="BK64" s="153">
        <f>BK39*$C15*('Книга допущений'!$B$20^BK$57)*(1+Риски!$B$12)</f>
        <v>121.66529024000003</v>
      </c>
      <c r="BL64" s="153">
        <f>BL39*$C15*('Книга допущений'!$B$20^BL$57)*(1+Риски!$B$12)</f>
        <v>121.66529024000003</v>
      </c>
      <c r="BM64" s="153">
        <f>BM39*$C15*('Книга допущений'!$B$20^BM$57)*(1+Риски!$B$12)</f>
        <v>126.53190184960003</v>
      </c>
      <c r="BN64" s="153">
        <f>BN39*$C15*('Книга допущений'!$B$20^BN$57)*(1+Риски!$B$12)</f>
        <v>126.53190184960003</v>
      </c>
      <c r="BO64" s="153">
        <f>BO39*$C15*('Книга допущений'!$B$20^BO$57)*(1+Риски!$B$12)</f>
        <v>126.53190184960003</v>
      </c>
      <c r="BP64" s="153">
        <f>BP39*$C15*('Книга допущений'!$B$20^BP$57)*(1+Риски!$B$12)</f>
        <v>126.53190184960003</v>
      </c>
      <c r="BQ64" s="153">
        <f>BQ39*$C15*('Книга допущений'!$B$20^BQ$57)*(1+Риски!$B$12)</f>
        <v>126.53190184960003</v>
      </c>
      <c r="BR64" s="153">
        <f>BR39*$C15*('Книга допущений'!$B$20^BR$57)*(1+Риски!$B$12)</f>
        <v>126.53190184960003</v>
      </c>
      <c r="BS64" s="153">
        <f>BS39*$C15*('Книга допущений'!$B$20^BS$57)*(1+Риски!$B$12)</f>
        <v>126.53190184960003</v>
      </c>
      <c r="BT64" s="153">
        <f>BT39*$C15*('Книга допущений'!$B$20^BT$57)*(1+Риски!$B$12)</f>
        <v>126.53190184960003</v>
      </c>
      <c r="BU64" s="153">
        <f>BU39*$C15*('Книга допущений'!$B$20^BU$57)*(1+Риски!$B$12)</f>
        <v>126.53190184960003</v>
      </c>
      <c r="BV64" s="153">
        <f>BV39*$C15*('Книга допущений'!$B$20^BV$57)*(1+Риски!$B$12)</f>
        <v>126.53190184960003</v>
      </c>
      <c r="BW64" s="153">
        <f>BW39*$C15*('Книга допущений'!$B$20^BW$57)*(1+Риски!$B$12)</f>
        <v>126.53190184960003</v>
      </c>
      <c r="BX64" s="153">
        <f>BX39*$C15*('Книга допущений'!$B$20^BX$57)*(1+Риски!$B$12)</f>
        <v>126.53190184960003</v>
      </c>
    </row>
    <row r="65" spans="1:76" s="30" customFormat="1" ht="12.75" customHeight="1" x14ac:dyDescent="0.25">
      <c r="A65" s="152" t="str">
        <f t="shared" si="67"/>
        <v>Старшая горничная</v>
      </c>
      <c r="B65" s="153">
        <f>B40*$C16*('Книга допущений'!$B$20^B$57)*(1+Риски!$B$12)</f>
        <v>0</v>
      </c>
      <c r="C65" s="153">
        <f>C40*$C16*('Книга допущений'!$B$20^C$57)*(1+Риски!$B$12)</f>
        <v>0</v>
      </c>
      <c r="D65" s="153">
        <f>D40*$C16*('Книга допущений'!$B$20^D$57)*(1+Риски!$B$12)</f>
        <v>0</v>
      </c>
      <c r="E65" s="153">
        <f>E40*$C16*('Книга допущений'!$B$20^E$57)*(1+Риски!$B$12)</f>
        <v>0</v>
      </c>
      <c r="F65" s="153">
        <f>F40*$C16*('Книга допущений'!$B$20^F$57)*(1+Риски!$B$12)</f>
        <v>0</v>
      </c>
      <c r="G65" s="153">
        <f>G40*$C16*('Книга допущений'!$B$20^G$57)*(1+Риски!$B$12)</f>
        <v>0</v>
      </c>
      <c r="H65" s="153">
        <f>H40*$C16*('Книга допущений'!$B$20^H$57)*(1+Риски!$B$12)</f>
        <v>0</v>
      </c>
      <c r="I65" s="153">
        <f>I40*$C16*('Книга допущений'!$B$20^I$57)*(1+Риски!$B$12)</f>
        <v>0</v>
      </c>
      <c r="J65" s="153">
        <f>J40*$C16*('Книга допущений'!$B$20^J$57)*(1+Риски!$B$12)</f>
        <v>0</v>
      </c>
      <c r="K65" s="153">
        <f>K40*$C16*('Книга допущений'!$B$20^K$57)*(1+Риски!$B$12)</f>
        <v>26</v>
      </c>
      <c r="L65" s="153">
        <f>L40*$C16*('Книга допущений'!$B$20^L$57)*(1+Риски!$B$12)</f>
        <v>26</v>
      </c>
      <c r="M65" s="153">
        <f>M40*$C16*('Книга допущений'!$B$20^M$57)*(1+Риски!$B$12)</f>
        <v>26</v>
      </c>
      <c r="N65" s="153">
        <f>N40*$C16*('Книга допущений'!$B$20^N$57)*(1+Риски!$B$12)</f>
        <v>26</v>
      </c>
      <c r="O65" s="153">
        <f>O40*$C16*('Книга допущений'!$B$20^O$57)*(1+Риски!$B$12)</f>
        <v>26</v>
      </c>
      <c r="P65" s="153">
        <f>P40*$C16*('Книга допущений'!$B$20^P$57)*(1+Риски!$B$12)</f>
        <v>26</v>
      </c>
      <c r="Q65" s="153">
        <f>Q40*$C16*('Книга допущений'!$B$20^Q$57)*(1+Риски!$B$12)</f>
        <v>27.040000000000003</v>
      </c>
      <c r="R65" s="153">
        <f>R40*$C16*('Книга допущений'!$B$20^R$57)*(1+Риски!$B$12)</f>
        <v>27.040000000000003</v>
      </c>
      <c r="S65" s="153">
        <f>S40*$C16*('Книга допущений'!$B$20^S$57)*(1+Риски!$B$12)</f>
        <v>27.040000000000003</v>
      </c>
      <c r="T65" s="153">
        <f>T40*$C16*('Книга допущений'!$B$20^T$57)*(1+Риски!$B$12)</f>
        <v>27.040000000000003</v>
      </c>
      <c r="U65" s="153">
        <f>U40*$C16*('Книга допущений'!$B$20^U$57)*(1+Риски!$B$12)</f>
        <v>27.040000000000003</v>
      </c>
      <c r="V65" s="153">
        <f>V40*$C16*('Книга допущений'!$B$20^V$57)*(1+Риски!$B$12)</f>
        <v>27.040000000000003</v>
      </c>
      <c r="W65" s="153">
        <f>W40*$C16*('Книга допущений'!$B$20^W$57)*(1+Риски!$B$12)</f>
        <v>27.040000000000003</v>
      </c>
      <c r="X65" s="153">
        <f>X40*$C16*('Книга допущений'!$B$20^X$57)*(1+Риски!$B$12)</f>
        <v>27.040000000000003</v>
      </c>
      <c r="Y65" s="153">
        <f>Y40*$C16*('Книга допущений'!$B$20^Y$57)*(1+Риски!$B$12)</f>
        <v>27.040000000000003</v>
      </c>
      <c r="Z65" s="153">
        <f>Z40*$C16*('Книга допущений'!$B$20^Z$57)*(1+Риски!$B$12)</f>
        <v>27.040000000000003</v>
      </c>
      <c r="AA65" s="153">
        <f>AA40*$C16*('Книга допущений'!$B$20^AA$57)*(1+Риски!$B$12)</f>
        <v>27.040000000000003</v>
      </c>
      <c r="AB65" s="153">
        <f>AB40*$C16*('Книга допущений'!$B$20^AB$57)*(1+Риски!$B$12)</f>
        <v>27.040000000000003</v>
      </c>
      <c r="AC65" s="153">
        <f>AC40*$C16*('Книга допущений'!$B$20^AC$57)*(1+Риски!$B$12)</f>
        <v>28.121600000000001</v>
      </c>
      <c r="AD65" s="153">
        <f>AD40*$C16*('Книга допущений'!$B$20^AD$57)*(1+Риски!$B$12)</f>
        <v>28.121600000000001</v>
      </c>
      <c r="AE65" s="153">
        <f>AE40*$C16*('Книга допущений'!$B$20^AE$57)*(1+Риски!$B$12)</f>
        <v>28.121600000000001</v>
      </c>
      <c r="AF65" s="153">
        <f>AF40*$C16*('Книга допущений'!$B$20^AF$57)*(1+Риски!$B$12)</f>
        <v>28.121600000000001</v>
      </c>
      <c r="AG65" s="153">
        <f>AG40*$C16*('Книга допущений'!$B$20^AG$57)*(1+Риски!$B$12)</f>
        <v>28.121600000000001</v>
      </c>
      <c r="AH65" s="153">
        <f>AH40*$C16*('Книга допущений'!$B$20^AH$57)*(1+Риски!$B$12)</f>
        <v>28.121600000000001</v>
      </c>
      <c r="AI65" s="153">
        <f>AI40*$C16*('Книга допущений'!$B$20^AI$57)*(1+Риски!$B$12)</f>
        <v>28.121600000000001</v>
      </c>
      <c r="AJ65" s="153">
        <f>AJ40*$C16*('Книга допущений'!$B$20^AJ$57)*(1+Риски!$B$12)</f>
        <v>28.121600000000001</v>
      </c>
      <c r="AK65" s="153">
        <f>AK40*$C16*('Книга допущений'!$B$20^AK$57)*(1+Риски!$B$12)</f>
        <v>28.121600000000001</v>
      </c>
      <c r="AL65" s="153">
        <f>AL40*$C16*('Книга допущений'!$B$20^AL$57)*(1+Риски!$B$12)</f>
        <v>28.121600000000001</v>
      </c>
      <c r="AM65" s="153">
        <f>AM40*$C16*('Книга допущений'!$B$20^AM$57)*(1+Риски!$B$12)</f>
        <v>28.121600000000001</v>
      </c>
      <c r="AN65" s="153">
        <f>AN40*$C16*('Книга допущений'!$B$20^AN$57)*(1+Риски!$B$12)</f>
        <v>28.121600000000001</v>
      </c>
      <c r="AO65" s="153">
        <f>AO40*$C16*('Книга допущений'!$B$20^AO$57)*(1+Риски!$B$12)</f>
        <v>29.246464000000007</v>
      </c>
      <c r="AP65" s="153">
        <f>AP40*$C16*('Книга допущений'!$B$20^AP$57)*(1+Риски!$B$12)</f>
        <v>29.246464000000007</v>
      </c>
      <c r="AQ65" s="153">
        <f>AQ40*$C16*('Книга допущений'!$B$20^AQ$57)*(1+Риски!$B$12)</f>
        <v>29.246464000000007</v>
      </c>
      <c r="AR65" s="153">
        <f>AR40*$C16*('Книга допущений'!$B$20^AR$57)*(1+Риски!$B$12)</f>
        <v>29.246464000000007</v>
      </c>
      <c r="AS65" s="153">
        <f>AS40*$C16*('Книга допущений'!$B$20^AS$57)*(1+Риски!$B$12)</f>
        <v>29.246464000000007</v>
      </c>
      <c r="AT65" s="153">
        <f>AT40*$C16*('Книга допущений'!$B$20^AT$57)*(1+Риски!$B$12)</f>
        <v>29.246464000000007</v>
      </c>
      <c r="AU65" s="153">
        <f>AU40*$C16*('Книга допущений'!$B$20^AU$57)*(1+Риски!$B$12)</f>
        <v>29.246464000000007</v>
      </c>
      <c r="AV65" s="153">
        <f>AV40*$C16*('Книга допущений'!$B$20^AV$57)*(1+Риски!$B$12)</f>
        <v>29.246464000000007</v>
      </c>
      <c r="AW65" s="153">
        <f>AW40*$C16*('Книга допущений'!$B$20^AW$57)*(1+Риски!$B$12)</f>
        <v>29.246464000000007</v>
      </c>
      <c r="AX65" s="153">
        <f>AX40*$C16*('Книга допущений'!$B$20^AX$57)*(1+Риски!$B$12)</f>
        <v>29.246464000000007</v>
      </c>
      <c r="AY65" s="153">
        <f>AY40*$C16*('Книга допущений'!$B$20^AY$57)*(1+Риски!$B$12)</f>
        <v>29.246464000000007</v>
      </c>
      <c r="AZ65" s="153">
        <f>AZ40*$C16*('Книга допущений'!$B$20^AZ$57)*(1+Риски!$B$12)</f>
        <v>29.246464000000007</v>
      </c>
      <c r="BA65" s="153">
        <f>BA40*$C16*('Книга допущений'!$B$20^BA$57)*(1+Риски!$B$12)</f>
        <v>30.416322560000008</v>
      </c>
      <c r="BB65" s="153">
        <f>BB40*$C16*('Книга допущений'!$B$20^BB$57)*(1+Риски!$B$12)</f>
        <v>30.416322560000008</v>
      </c>
      <c r="BC65" s="153">
        <f>BC40*$C16*('Книга допущений'!$B$20^BC$57)*(1+Риски!$B$12)</f>
        <v>30.416322560000008</v>
      </c>
      <c r="BD65" s="153">
        <f>BD40*$C16*('Книга допущений'!$B$20^BD$57)*(1+Риски!$B$12)</f>
        <v>30.416322560000008</v>
      </c>
      <c r="BE65" s="153">
        <f>BE40*$C16*('Книга допущений'!$B$20^BE$57)*(1+Риски!$B$12)</f>
        <v>30.416322560000008</v>
      </c>
      <c r="BF65" s="153">
        <f>BF40*$C16*('Книга допущений'!$B$20^BF$57)*(1+Риски!$B$12)</f>
        <v>30.416322560000008</v>
      </c>
      <c r="BG65" s="153">
        <f>BG40*$C16*('Книга допущений'!$B$20^BG$57)*(1+Риски!$B$12)</f>
        <v>30.416322560000008</v>
      </c>
      <c r="BH65" s="153">
        <f>BH40*$C16*('Книга допущений'!$B$20^BH$57)*(1+Риски!$B$12)</f>
        <v>30.416322560000008</v>
      </c>
      <c r="BI65" s="153">
        <f>BI40*$C16*('Книга допущений'!$B$20^BI$57)*(1+Риски!$B$12)</f>
        <v>30.416322560000008</v>
      </c>
      <c r="BJ65" s="153">
        <f>BJ40*$C16*('Книга допущений'!$B$20^BJ$57)*(1+Риски!$B$12)</f>
        <v>30.416322560000008</v>
      </c>
      <c r="BK65" s="153">
        <f>BK40*$C16*('Книга допущений'!$B$20^BK$57)*(1+Риски!$B$12)</f>
        <v>30.416322560000008</v>
      </c>
      <c r="BL65" s="153">
        <f>BL40*$C16*('Книга допущений'!$B$20^BL$57)*(1+Риски!$B$12)</f>
        <v>30.416322560000008</v>
      </c>
      <c r="BM65" s="153">
        <f>BM40*$C16*('Книга допущений'!$B$20^BM$57)*(1+Риски!$B$12)</f>
        <v>31.632975462400008</v>
      </c>
      <c r="BN65" s="153">
        <f>BN40*$C16*('Книга допущений'!$B$20^BN$57)*(1+Риски!$B$12)</f>
        <v>31.632975462400008</v>
      </c>
      <c r="BO65" s="153">
        <f>BO40*$C16*('Книга допущений'!$B$20^BO$57)*(1+Риски!$B$12)</f>
        <v>31.632975462400008</v>
      </c>
      <c r="BP65" s="153">
        <f>BP40*$C16*('Книга допущений'!$B$20^BP$57)*(1+Риски!$B$12)</f>
        <v>31.632975462400008</v>
      </c>
      <c r="BQ65" s="153">
        <f>BQ40*$C16*('Книга допущений'!$B$20^BQ$57)*(1+Риски!$B$12)</f>
        <v>31.632975462400008</v>
      </c>
      <c r="BR65" s="153">
        <f>BR40*$C16*('Книга допущений'!$B$20^BR$57)*(1+Риски!$B$12)</f>
        <v>31.632975462400008</v>
      </c>
      <c r="BS65" s="153">
        <f>BS40*$C16*('Книга допущений'!$B$20^BS$57)*(1+Риски!$B$12)</f>
        <v>31.632975462400008</v>
      </c>
      <c r="BT65" s="153">
        <f>BT40*$C16*('Книга допущений'!$B$20^BT$57)*(1+Риски!$B$12)</f>
        <v>31.632975462400008</v>
      </c>
      <c r="BU65" s="153">
        <f>BU40*$C16*('Книга допущений'!$B$20^BU$57)*(1+Риски!$B$12)</f>
        <v>31.632975462400008</v>
      </c>
      <c r="BV65" s="153">
        <f>BV40*$C16*('Книга допущений'!$B$20^BV$57)*(1+Риски!$B$12)</f>
        <v>31.632975462400008</v>
      </c>
      <c r="BW65" s="153">
        <f>BW40*$C16*('Книга допущений'!$B$20^BW$57)*(1+Риски!$B$12)</f>
        <v>31.632975462400008</v>
      </c>
      <c r="BX65" s="153">
        <f>BX40*$C16*('Книга допущений'!$B$20^BX$57)*(1+Риски!$B$12)</f>
        <v>31.632975462400008</v>
      </c>
    </row>
    <row r="66" spans="1:76" s="30" customFormat="1" ht="12.75" customHeight="1" x14ac:dyDescent="0.25">
      <c r="A66" s="152" t="str">
        <f t="shared" si="67"/>
        <v>Горничная</v>
      </c>
      <c r="B66" s="153">
        <f>B41*$C17*('Книга допущений'!$B$20^B$57)*(1+Риски!$B$12)</f>
        <v>0</v>
      </c>
      <c r="C66" s="153">
        <f>C41*$C17*('Книга допущений'!$B$20^C$57)*(1+Риски!$B$12)</f>
        <v>0</v>
      </c>
      <c r="D66" s="153">
        <f>D41*$C17*('Книга допущений'!$B$20^D$57)*(1+Риски!$B$12)</f>
        <v>0</v>
      </c>
      <c r="E66" s="153">
        <f>E41*$C17*('Книга допущений'!$B$20^E$57)*(1+Риски!$B$12)</f>
        <v>0</v>
      </c>
      <c r="F66" s="153">
        <f>F41*$C17*('Книга допущений'!$B$20^F$57)*(1+Риски!$B$12)</f>
        <v>0</v>
      </c>
      <c r="G66" s="153">
        <f>G41*$C17*('Книга допущений'!$B$20^G$57)*(1+Риски!$B$12)</f>
        <v>0</v>
      </c>
      <c r="H66" s="153">
        <f>H41*$C17*('Книга допущений'!$B$20^H$57)*(1+Риски!$B$12)</f>
        <v>0</v>
      </c>
      <c r="I66" s="153">
        <f>I41*$C17*('Книга допущений'!$B$20^I$57)*(1+Риски!$B$12)</f>
        <v>0</v>
      </c>
      <c r="J66" s="153">
        <f>J41*$C17*('Книга допущений'!$B$20^J$57)*(1+Риски!$B$12)</f>
        <v>0</v>
      </c>
      <c r="K66" s="153">
        <f>K41*$C17*('Книга допущений'!$B$20^K$57)*(1+Риски!$B$12)</f>
        <v>62.400000000000006</v>
      </c>
      <c r="L66" s="153">
        <f>L41*$C17*('Книга допущений'!$B$20^L$57)*(1+Риски!$B$12)</f>
        <v>62.400000000000006</v>
      </c>
      <c r="M66" s="153">
        <f>M41*$C17*('Книга допущений'!$B$20^M$57)*(1+Риски!$B$12)</f>
        <v>62.400000000000006</v>
      </c>
      <c r="N66" s="153">
        <f>N41*$C17*('Книга допущений'!$B$20^N$57)*(1+Риски!$B$12)</f>
        <v>62.400000000000006</v>
      </c>
      <c r="O66" s="153">
        <f>O41*$C17*('Книга допущений'!$B$20^O$57)*(1+Риски!$B$12)</f>
        <v>62.400000000000006</v>
      </c>
      <c r="P66" s="153">
        <f>P41*$C17*('Книга допущений'!$B$20^P$57)*(1+Риски!$B$12)</f>
        <v>62.400000000000006</v>
      </c>
      <c r="Q66" s="153">
        <f>Q41*$C17*('Книга допущений'!$B$20^Q$57)*(1+Риски!$B$12)</f>
        <v>64.896000000000001</v>
      </c>
      <c r="R66" s="153">
        <f>R41*$C17*('Книга допущений'!$B$20^R$57)*(1+Риски!$B$12)</f>
        <v>64.896000000000001</v>
      </c>
      <c r="S66" s="153">
        <f>S41*$C17*('Книга допущений'!$B$20^S$57)*(1+Риски!$B$12)</f>
        <v>64.896000000000001</v>
      </c>
      <c r="T66" s="153">
        <f>T41*$C17*('Книга допущений'!$B$20^T$57)*(1+Риски!$B$12)</f>
        <v>64.896000000000001</v>
      </c>
      <c r="U66" s="153">
        <f>U41*$C17*('Книга допущений'!$B$20^U$57)*(1+Риски!$B$12)</f>
        <v>64.896000000000001</v>
      </c>
      <c r="V66" s="153">
        <f>V41*$C17*('Книга допущений'!$B$20^V$57)*(1+Риски!$B$12)</f>
        <v>64.896000000000001</v>
      </c>
      <c r="W66" s="153">
        <f>W41*$C17*('Книга допущений'!$B$20^W$57)*(1+Риски!$B$12)</f>
        <v>64.896000000000001</v>
      </c>
      <c r="X66" s="153">
        <f>X41*$C17*('Книга допущений'!$B$20^X$57)*(1+Риски!$B$12)</f>
        <v>64.896000000000001</v>
      </c>
      <c r="Y66" s="153">
        <f>Y41*$C17*('Книга допущений'!$B$20^Y$57)*(1+Риски!$B$12)</f>
        <v>64.896000000000001</v>
      </c>
      <c r="Z66" s="153">
        <f>Z41*$C17*('Книга допущений'!$B$20^Z$57)*(1+Риски!$B$12)</f>
        <v>64.896000000000001</v>
      </c>
      <c r="AA66" s="153">
        <f>AA41*$C17*('Книга допущений'!$B$20^AA$57)*(1+Риски!$B$12)</f>
        <v>64.896000000000001</v>
      </c>
      <c r="AB66" s="153">
        <f>AB41*$C17*('Книга допущений'!$B$20^AB$57)*(1+Риски!$B$12)</f>
        <v>64.896000000000001</v>
      </c>
      <c r="AC66" s="153">
        <f>AC41*$C17*('Книга допущений'!$B$20^AC$57)*(1+Риски!$B$12)</f>
        <v>67.49184000000001</v>
      </c>
      <c r="AD66" s="153">
        <f>AD41*$C17*('Книга допущений'!$B$20^AD$57)*(1+Риски!$B$12)</f>
        <v>67.49184000000001</v>
      </c>
      <c r="AE66" s="153">
        <f>AE41*$C17*('Книга допущений'!$B$20^AE$57)*(1+Риски!$B$12)</f>
        <v>67.49184000000001</v>
      </c>
      <c r="AF66" s="153">
        <f>AF41*$C17*('Книга допущений'!$B$20^AF$57)*(1+Риски!$B$12)</f>
        <v>67.49184000000001</v>
      </c>
      <c r="AG66" s="153">
        <f>AG41*$C17*('Книга допущений'!$B$20^AG$57)*(1+Риски!$B$12)</f>
        <v>67.49184000000001</v>
      </c>
      <c r="AH66" s="153">
        <f>AH41*$C17*('Книга допущений'!$B$20^AH$57)*(1+Риски!$B$12)</f>
        <v>67.49184000000001</v>
      </c>
      <c r="AI66" s="153">
        <f>AI41*$C17*('Книга допущений'!$B$20^AI$57)*(1+Риски!$B$12)</f>
        <v>67.49184000000001</v>
      </c>
      <c r="AJ66" s="153">
        <f>AJ41*$C17*('Книга допущений'!$B$20^AJ$57)*(1+Риски!$B$12)</f>
        <v>67.49184000000001</v>
      </c>
      <c r="AK66" s="153">
        <f>AK41*$C17*('Книга допущений'!$B$20^AK$57)*(1+Риски!$B$12)</f>
        <v>67.49184000000001</v>
      </c>
      <c r="AL66" s="153">
        <f>AL41*$C17*('Книга допущений'!$B$20^AL$57)*(1+Риски!$B$12)</f>
        <v>67.49184000000001</v>
      </c>
      <c r="AM66" s="153">
        <f>AM41*$C17*('Книга допущений'!$B$20^AM$57)*(1+Риски!$B$12)</f>
        <v>67.49184000000001</v>
      </c>
      <c r="AN66" s="153">
        <f>AN41*$C17*('Книга допущений'!$B$20^AN$57)*(1+Риски!$B$12)</f>
        <v>67.49184000000001</v>
      </c>
      <c r="AO66" s="153">
        <f>AO41*$C17*('Книга допущений'!$B$20^AO$57)*(1+Риски!$B$12)</f>
        <v>70.191513600000008</v>
      </c>
      <c r="AP66" s="153">
        <f>AP41*$C17*('Книга допущений'!$B$20^AP$57)*(1+Риски!$B$12)</f>
        <v>70.191513600000008</v>
      </c>
      <c r="AQ66" s="153">
        <f>AQ41*$C17*('Книга допущений'!$B$20^AQ$57)*(1+Риски!$B$12)</f>
        <v>70.191513600000008</v>
      </c>
      <c r="AR66" s="153">
        <f>AR41*$C17*('Книга допущений'!$B$20^AR$57)*(1+Риски!$B$12)</f>
        <v>70.191513600000008</v>
      </c>
      <c r="AS66" s="153">
        <f>AS41*$C17*('Книга допущений'!$B$20^AS$57)*(1+Риски!$B$12)</f>
        <v>70.191513600000008</v>
      </c>
      <c r="AT66" s="153">
        <f>AT41*$C17*('Книга допущений'!$B$20^AT$57)*(1+Риски!$B$12)</f>
        <v>70.191513600000008</v>
      </c>
      <c r="AU66" s="153">
        <f>AU41*$C17*('Книга допущений'!$B$20^AU$57)*(1+Риски!$B$12)</f>
        <v>70.191513600000008</v>
      </c>
      <c r="AV66" s="153">
        <f>AV41*$C17*('Книга допущений'!$B$20^AV$57)*(1+Риски!$B$12)</f>
        <v>70.191513600000008</v>
      </c>
      <c r="AW66" s="153">
        <f>AW41*$C17*('Книга допущений'!$B$20^AW$57)*(1+Риски!$B$12)</f>
        <v>70.191513600000008</v>
      </c>
      <c r="AX66" s="153">
        <f>AX41*$C17*('Книга допущений'!$B$20^AX$57)*(1+Риски!$B$12)</f>
        <v>70.191513600000008</v>
      </c>
      <c r="AY66" s="153">
        <f>AY41*$C17*('Книга допущений'!$B$20^AY$57)*(1+Риски!$B$12)</f>
        <v>70.191513600000008</v>
      </c>
      <c r="AZ66" s="153">
        <f>AZ41*$C17*('Книга допущений'!$B$20^AZ$57)*(1+Риски!$B$12)</f>
        <v>70.191513600000008</v>
      </c>
      <c r="BA66" s="153">
        <f>BA41*$C17*('Книга допущений'!$B$20^BA$57)*(1+Риски!$B$12)</f>
        <v>72.999174144000023</v>
      </c>
      <c r="BB66" s="153">
        <f>BB41*$C17*('Книга допущений'!$B$20^BB$57)*(1+Риски!$B$12)</f>
        <v>72.999174144000023</v>
      </c>
      <c r="BC66" s="153">
        <f>BC41*$C17*('Книга допущений'!$B$20^BC$57)*(1+Риски!$B$12)</f>
        <v>72.999174144000023</v>
      </c>
      <c r="BD66" s="153">
        <f>BD41*$C17*('Книга допущений'!$B$20^BD$57)*(1+Риски!$B$12)</f>
        <v>72.999174144000023</v>
      </c>
      <c r="BE66" s="153">
        <f>BE41*$C17*('Книга допущений'!$B$20^BE$57)*(1+Риски!$B$12)</f>
        <v>72.999174144000023</v>
      </c>
      <c r="BF66" s="153">
        <f>BF41*$C17*('Книга допущений'!$B$20^BF$57)*(1+Риски!$B$12)</f>
        <v>72.999174144000023</v>
      </c>
      <c r="BG66" s="153">
        <f>BG41*$C17*('Книга допущений'!$B$20^BG$57)*(1+Риски!$B$12)</f>
        <v>72.999174144000023</v>
      </c>
      <c r="BH66" s="153">
        <f>BH41*$C17*('Книга допущений'!$B$20^BH$57)*(1+Риски!$B$12)</f>
        <v>72.999174144000023</v>
      </c>
      <c r="BI66" s="153">
        <f>BI41*$C17*('Книга допущений'!$B$20^BI$57)*(1+Риски!$B$12)</f>
        <v>72.999174144000023</v>
      </c>
      <c r="BJ66" s="153">
        <f>BJ41*$C17*('Книга допущений'!$B$20^BJ$57)*(1+Риски!$B$12)</f>
        <v>72.999174144000023</v>
      </c>
      <c r="BK66" s="153">
        <f>BK41*$C17*('Книга допущений'!$B$20^BK$57)*(1+Риски!$B$12)</f>
        <v>72.999174144000023</v>
      </c>
      <c r="BL66" s="153">
        <f>BL41*$C17*('Книга допущений'!$B$20^BL$57)*(1+Риски!$B$12)</f>
        <v>72.999174144000023</v>
      </c>
      <c r="BM66" s="153">
        <f>BM41*$C17*('Книга допущений'!$B$20^BM$57)*(1+Риски!$B$12)</f>
        <v>75.91914110976002</v>
      </c>
      <c r="BN66" s="153">
        <f>BN41*$C17*('Книга допущений'!$B$20^BN$57)*(1+Риски!$B$12)</f>
        <v>75.91914110976002</v>
      </c>
      <c r="BO66" s="153">
        <f>BO41*$C17*('Книга допущений'!$B$20^BO$57)*(1+Риски!$B$12)</f>
        <v>75.91914110976002</v>
      </c>
      <c r="BP66" s="153">
        <f>BP41*$C17*('Книга допущений'!$B$20^BP$57)*(1+Риски!$B$12)</f>
        <v>75.91914110976002</v>
      </c>
      <c r="BQ66" s="153">
        <f>BQ41*$C17*('Книга допущений'!$B$20^BQ$57)*(1+Риски!$B$12)</f>
        <v>75.91914110976002</v>
      </c>
      <c r="BR66" s="153">
        <f>BR41*$C17*('Книга допущений'!$B$20^BR$57)*(1+Риски!$B$12)</f>
        <v>75.91914110976002</v>
      </c>
      <c r="BS66" s="153">
        <f>BS41*$C17*('Книга допущений'!$B$20^BS$57)*(1+Риски!$B$12)</f>
        <v>75.91914110976002</v>
      </c>
      <c r="BT66" s="153">
        <f>BT41*$C17*('Книга допущений'!$B$20^BT$57)*(1+Риски!$B$12)</f>
        <v>75.91914110976002</v>
      </c>
      <c r="BU66" s="153">
        <f>BU41*$C17*('Книга допущений'!$B$20^BU$57)*(1+Риски!$B$12)</f>
        <v>75.91914110976002</v>
      </c>
      <c r="BV66" s="153">
        <f>BV41*$C17*('Книга допущений'!$B$20^BV$57)*(1+Риски!$B$12)</f>
        <v>75.91914110976002</v>
      </c>
      <c r="BW66" s="153">
        <f>BW41*$C17*('Книга допущений'!$B$20^BW$57)*(1+Риски!$B$12)</f>
        <v>75.91914110976002</v>
      </c>
      <c r="BX66" s="153">
        <f>BX41*$C17*('Книга допущений'!$B$20^BX$57)*(1+Риски!$B$12)</f>
        <v>75.91914110976002</v>
      </c>
    </row>
    <row r="67" spans="1:76" s="30" customFormat="1" ht="12.75" customHeight="1" x14ac:dyDescent="0.25">
      <c r="A67" s="152" t="str">
        <f t="shared" si="67"/>
        <v>Хаус-менеджер</v>
      </c>
      <c r="B67" s="153">
        <f>B42*$C18*('Книга допущений'!$B$20^B$57)*(1+Риски!$B$12)</f>
        <v>0</v>
      </c>
      <c r="C67" s="153">
        <f>C42*$C18*('Книга допущений'!$B$20^C$57)*(1+Риски!$B$12)</f>
        <v>0</v>
      </c>
      <c r="D67" s="153">
        <f>D42*$C18*('Книга допущений'!$B$20^D$57)*(1+Риски!$B$12)</f>
        <v>0</v>
      </c>
      <c r="E67" s="153">
        <f>E42*$C18*('Книга допущений'!$B$20^E$57)*(1+Риски!$B$12)</f>
        <v>0</v>
      </c>
      <c r="F67" s="153">
        <f>F42*$C18*('Книга допущений'!$B$20^F$57)*(1+Риски!$B$12)</f>
        <v>0</v>
      </c>
      <c r="G67" s="153">
        <f>G42*$C18*('Книга допущений'!$B$20^G$57)*(1+Риски!$B$12)</f>
        <v>0</v>
      </c>
      <c r="H67" s="153">
        <f>H42*$C18*('Книга допущений'!$B$20^H$57)*(1+Риски!$B$12)</f>
        <v>0</v>
      </c>
      <c r="I67" s="153">
        <f>I42*$C18*('Книга допущений'!$B$20^I$57)*(1+Риски!$B$12)</f>
        <v>0</v>
      </c>
      <c r="J67" s="153">
        <f>J42*$C18*('Книга допущений'!$B$20^J$57)*(1+Риски!$B$12)</f>
        <v>0</v>
      </c>
      <c r="K67" s="153">
        <f>K42*$C18*('Книга допущений'!$B$20^K$57)*(1+Риски!$B$12)</f>
        <v>52</v>
      </c>
      <c r="L67" s="153">
        <f>L42*$C18*('Книга допущений'!$B$20^L$57)*(1+Риски!$B$12)</f>
        <v>52</v>
      </c>
      <c r="M67" s="153">
        <f>M42*$C18*('Книга допущений'!$B$20^M$57)*(1+Риски!$B$12)</f>
        <v>52</v>
      </c>
      <c r="N67" s="153">
        <f>N42*$C18*('Книга допущений'!$B$20^N$57)*(1+Риски!$B$12)</f>
        <v>52</v>
      </c>
      <c r="O67" s="153">
        <f>O42*$C18*('Книга допущений'!$B$20^O$57)*(1+Риски!$B$12)</f>
        <v>52</v>
      </c>
      <c r="P67" s="153">
        <f>P42*$C18*('Книга допущений'!$B$20^P$57)*(1+Риски!$B$12)</f>
        <v>52</v>
      </c>
      <c r="Q67" s="153">
        <f>Q42*$C18*('Книга допущений'!$B$20^Q$57)*(1+Риски!$B$12)</f>
        <v>54.080000000000005</v>
      </c>
      <c r="R67" s="153">
        <f>R42*$C18*('Книга допущений'!$B$20^R$57)*(1+Риски!$B$12)</f>
        <v>54.080000000000005</v>
      </c>
      <c r="S67" s="153">
        <f>S42*$C18*('Книга допущений'!$B$20^S$57)*(1+Риски!$B$12)</f>
        <v>54.080000000000005</v>
      </c>
      <c r="T67" s="153">
        <f>T42*$C18*('Книга допущений'!$B$20^T$57)*(1+Риски!$B$12)</f>
        <v>54.080000000000005</v>
      </c>
      <c r="U67" s="153">
        <f>U42*$C18*('Книга допущений'!$B$20^U$57)*(1+Риски!$B$12)</f>
        <v>54.080000000000005</v>
      </c>
      <c r="V67" s="153">
        <f>V42*$C18*('Книга допущений'!$B$20^V$57)*(1+Риски!$B$12)</f>
        <v>54.080000000000005</v>
      </c>
      <c r="W67" s="153">
        <f>W42*$C18*('Книга допущений'!$B$20^W$57)*(1+Риски!$B$12)</f>
        <v>54.080000000000005</v>
      </c>
      <c r="X67" s="153">
        <f>X42*$C18*('Книга допущений'!$B$20^X$57)*(1+Риски!$B$12)</f>
        <v>54.080000000000005</v>
      </c>
      <c r="Y67" s="153">
        <f>Y42*$C18*('Книга допущений'!$B$20^Y$57)*(1+Риски!$B$12)</f>
        <v>54.080000000000005</v>
      </c>
      <c r="Z67" s="153">
        <f>Z42*$C18*('Книга допущений'!$B$20^Z$57)*(1+Риски!$B$12)</f>
        <v>54.080000000000005</v>
      </c>
      <c r="AA67" s="153">
        <f>AA42*$C18*('Книга допущений'!$B$20^AA$57)*(1+Риски!$B$12)</f>
        <v>54.080000000000005</v>
      </c>
      <c r="AB67" s="153">
        <f>AB42*$C18*('Книга допущений'!$B$20^AB$57)*(1+Риски!$B$12)</f>
        <v>54.080000000000005</v>
      </c>
      <c r="AC67" s="153">
        <f>AC42*$C18*('Книга допущений'!$B$20^AC$57)*(1+Риски!$B$12)</f>
        <v>56.243200000000002</v>
      </c>
      <c r="AD67" s="153">
        <f>AD42*$C18*('Книга допущений'!$B$20^AD$57)*(1+Риски!$B$12)</f>
        <v>56.243200000000002</v>
      </c>
      <c r="AE67" s="153">
        <f>AE42*$C18*('Книга допущений'!$B$20^AE$57)*(1+Риски!$B$12)</f>
        <v>56.243200000000002</v>
      </c>
      <c r="AF67" s="153">
        <f>AF42*$C18*('Книга допущений'!$B$20^AF$57)*(1+Риски!$B$12)</f>
        <v>56.243200000000002</v>
      </c>
      <c r="AG67" s="153">
        <f>AG42*$C18*('Книга допущений'!$B$20^AG$57)*(1+Риски!$B$12)</f>
        <v>56.243200000000002</v>
      </c>
      <c r="AH67" s="153">
        <f>AH42*$C18*('Книга допущений'!$B$20^AH$57)*(1+Риски!$B$12)</f>
        <v>56.243200000000002</v>
      </c>
      <c r="AI67" s="153">
        <f>AI42*$C18*('Книга допущений'!$B$20^AI$57)*(1+Риски!$B$12)</f>
        <v>56.243200000000002</v>
      </c>
      <c r="AJ67" s="153">
        <f>AJ42*$C18*('Книга допущений'!$B$20^AJ$57)*(1+Риски!$B$12)</f>
        <v>56.243200000000002</v>
      </c>
      <c r="AK67" s="153">
        <f>AK42*$C18*('Книга допущений'!$B$20^AK$57)*(1+Риски!$B$12)</f>
        <v>56.243200000000002</v>
      </c>
      <c r="AL67" s="153">
        <f>AL42*$C18*('Книга допущений'!$B$20^AL$57)*(1+Риски!$B$12)</f>
        <v>56.243200000000002</v>
      </c>
      <c r="AM67" s="153">
        <f>AM42*$C18*('Книга допущений'!$B$20^AM$57)*(1+Риски!$B$12)</f>
        <v>56.243200000000002</v>
      </c>
      <c r="AN67" s="153">
        <f>AN42*$C18*('Книга допущений'!$B$20^AN$57)*(1+Риски!$B$12)</f>
        <v>56.243200000000002</v>
      </c>
      <c r="AO67" s="153">
        <f>AO42*$C18*('Книга допущений'!$B$20^AO$57)*(1+Риски!$B$12)</f>
        <v>58.492928000000013</v>
      </c>
      <c r="AP67" s="153">
        <f>AP42*$C18*('Книга допущений'!$B$20^AP$57)*(1+Риски!$B$12)</f>
        <v>58.492928000000013</v>
      </c>
      <c r="AQ67" s="153">
        <f>AQ42*$C18*('Книга допущений'!$B$20^AQ$57)*(1+Риски!$B$12)</f>
        <v>58.492928000000013</v>
      </c>
      <c r="AR67" s="153">
        <f>AR42*$C18*('Книга допущений'!$B$20^AR$57)*(1+Риски!$B$12)</f>
        <v>58.492928000000013</v>
      </c>
      <c r="AS67" s="153">
        <f>AS42*$C18*('Книга допущений'!$B$20^AS$57)*(1+Риски!$B$12)</f>
        <v>58.492928000000013</v>
      </c>
      <c r="AT67" s="153">
        <f>AT42*$C18*('Книга допущений'!$B$20^AT$57)*(1+Риски!$B$12)</f>
        <v>58.492928000000013</v>
      </c>
      <c r="AU67" s="153">
        <f>AU42*$C18*('Книга допущений'!$B$20^AU$57)*(1+Риски!$B$12)</f>
        <v>58.492928000000013</v>
      </c>
      <c r="AV67" s="153">
        <f>AV42*$C18*('Книга допущений'!$B$20^AV$57)*(1+Риски!$B$12)</f>
        <v>58.492928000000013</v>
      </c>
      <c r="AW67" s="153">
        <f>AW42*$C18*('Книга допущений'!$B$20^AW$57)*(1+Риски!$B$12)</f>
        <v>58.492928000000013</v>
      </c>
      <c r="AX67" s="153">
        <f>AX42*$C18*('Книга допущений'!$B$20^AX$57)*(1+Риски!$B$12)</f>
        <v>58.492928000000013</v>
      </c>
      <c r="AY67" s="153">
        <f>AY42*$C18*('Книга допущений'!$B$20^AY$57)*(1+Риски!$B$12)</f>
        <v>58.492928000000013</v>
      </c>
      <c r="AZ67" s="153">
        <f>AZ42*$C18*('Книга допущений'!$B$20^AZ$57)*(1+Риски!$B$12)</f>
        <v>58.492928000000013</v>
      </c>
      <c r="BA67" s="153">
        <f>BA42*$C18*('Книга допущений'!$B$20^BA$57)*(1+Риски!$B$12)</f>
        <v>60.832645120000016</v>
      </c>
      <c r="BB67" s="153">
        <f>BB42*$C18*('Книга допущений'!$B$20^BB$57)*(1+Риски!$B$12)</f>
        <v>60.832645120000016</v>
      </c>
      <c r="BC67" s="153">
        <f>BC42*$C18*('Книга допущений'!$B$20^BC$57)*(1+Риски!$B$12)</f>
        <v>60.832645120000016</v>
      </c>
      <c r="BD67" s="153">
        <f>BD42*$C18*('Книга допущений'!$B$20^BD$57)*(1+Риски!$B$12)</f>
        <v>60.832645120000016</v>
      </c>
      <c r="BE67" s="153">
        <f>BE42*$C18*('Книга допущений'!$B$20^BE$57)*(1+Риски!$B$12)</f>
        <v>60.832645120000016</v>
      </c>
      <c r="BF67" s="153">
        <f>BF42*$C18*('Книга допущений'!$B$20^BF$57)*(1+Риски!$B$12)</f>
        <v>60.832645120000016</v>
      </c>
      <c r="BG67" s="153">
        <f>BG42*$C18*('Книга допущений'!$B$20^BG$57)*(1+Риски!$B$12)</f>
        <v>60.832645120000016</v>
      </c>
      <c r="BH67" s="153">
        <f>BH42*$C18*('Книга допущений'!$B$20^BH$57)*(1+Риски!$B$12)</f>
        <v>60.832645120000016</v>
      </c>
      <c r="BI67" s="153">
        <f>BI42*$C18*('Книга допущений'!$B$20^BI$57)*(1+Риски!$B$12)</f>
        <v>60.832645120000016</v>
      </c>
      <c r="BJ67" s="153">
        <f>BJ42*$C18*('Книга допущений'!$B$20^BJ$57)*(1+Риски!$B$12)</f>
        <v>60.832645120000016</v>
      </c>
      <c r="BK67" s="153">
        <f>BK42*$C18*('Книга допущений'!$B$20^BK$57)*(1+Риски!$B$12)</f>
        <v>60.832645120000016</v>
      </c>
      <c r="BL67" s="153">
        <f>BL42*$C18*('Книга допущений'!$B$20^BL$57)*(1+Риски!$B$12)</f>
        <v>60.832645120000016</v>
      </c>
      <c r="BM67" s="153">
        <f>BM42*$C18*('Книга допущений'!$B$20^BM$57)*(1+Риски!$B$12)</f>
        <v>63.265950924800016</v>
      </c>
      <c r="BN67" s="153">
        <f>BN42*$C18*('Книга допущений'!$B$20^BN$57)*(1+Риски!$B$12)</f>
        <v>63.265950924800016</v>
      </c>
      <c r="BO67" s="153">
        <f>BO42*$C18*('Книга допущений'!$B$20^BO$57)*(1+Риски!$B$12)</f>
        <v>63.265950924800016</v>
      </c>
      <c r="BP67" s="153">
        <f>BP42*$C18*('Книга допущений'!$B$20^BP$57)*(1+Риски!$B$12)</f>
        <v>63.265950924800016</v>
      </c>
      <c r="BQ67" s="153">
        <f>BQ42*$C18*('Книга допущений'!$B$20^BQ$57)*(1+Риски!$B$12)</f>
        <v>63.265950924800016</v>
      </c>
      <c r="BR67" s="153">
        <f>BR42*$C18*('Книга допущений'!$B$20^BR$57)*(1+Риски!$B$12)</f>
        <v>63.265950924800016</v>
      </c>
      <c r="BS67" s="153">
        <f>BS42*$C18*('Книга допущений'!$B$20^BS$57)*(1+Риски!$B$12)</f>
        <v>63.265950924800016</v>
      </c>
      <c r="BT67" s="153">
        <f>BT42*$C18*('Книга допущений'!$B$20^BT$57)*(1+Риски!$B$12)</f>
        <v>63.265950924800016</v>
      </c>
      <c r="BU67" s="153">
        <f>BU42*$C18*('Книга допущений'!$B$20^BU$57)*(1+Риски!$B$12)</f>
        <v>63.265950924800016</v>
      </c>
      <c r="BV67" s="153">
        <f>BV42*$C18*('Книга допущений'!$B$20^BV$57)*(1+Риски!$B$12)</f>
        <v>63.265950924800016</v>
      </c>
      <c r="BW67" s="153">
        <f>BW42*$C18*('Книга допущений'!$B$20^BW$57)*(1+Риски!$B$12)</f>
        <v>63.265950924800016</v>
      </c>
      <c r="BX67" s="153">
        <f>BX42*$C18*('Книга допущений'!$B$20^BX$57)*(1+Риски!$B$12)</f>
        <v>63.265950924800016</v>
      </c>
    </row>
    <row r="68" spans="1:76" s="30" customFormat="1" ht="12.75" customHeight="1" x14ac:dyDescent="0.25">
      <c r="A68" s="382" t="str">
        <f t="shared" si="67"/>
        <v>Ресторан</v>
      </c>
      <c r="B68" s="383">
        <f>SUM(B69:B72)</f>
        <v>0</v>
      </c>
      <c r="C68" s="383">
        <f t="shared" ref="C68:BN68" si="72">SUM(C69:C72)</f>
        <v>0</v>
      </c>
      <c r="D68" s="383">
        <f t="shared" si="72"/>
        <v>0</v>
      </c>
      <c r="E68" s="383">
        <f t="shared" si="72"/>
        <v>0</v>
      </c>
      <c r="F68" s="383">
        <f t="shared" si="72"/>
        <v>0</v>
      </c>
      <c r="G68" s="383">
        <f t="shared" si="72"/>
        <v>0</v>
      </c>
      <c r="H68" s="383">
        <f t="shared" si="72"/>
        <v>0</v>
      </c>
      <c r="I68" s="383">
        <f t="shared" si="72"/>
        <v>0</v>
      </c>
      <c r="J68" s="383">
        <f t="shared" si="72"/>
        <v>0</v>
      </c>
      <c r="K68" s="383">
        <f t="shared" si="72"/>
        <v>41.6</v>
      </c>
      <c r="L68" s="383">
        <f t="shared" si="72"/>
        <v>254.8</v>
      </c>
      <c r="M68" s="383">
        <f t="shared" si="72"/>
        <v>254.8</v>
      </c>
      <c r="N68" s="383">
        <f t="shared" si="72"/>
        <v>254.8</v>
      </c>
      <c r="O68" s="383">
        <f t="shared" si="72"/>
        <v>254.8</v>
      </c>
      <c r="P68" s="383">
        <f t="shared" si="72"/>
        <v>254.8</v>
      </c>
      <c r="Q68" s="383">
        <f t="shared" si="72"/>
        <v>264.99200000000002</v>
      </c>
      <c r="R68" s="383">
        <f t="shared" si="72"/>
        <v>264.99200000000002</v>
      </c>
      <c r="S68" s="383">
        <f t="shared" si="72"/>
        <v>264.99200000000002</v>
      </c>
      <c r="T68" s="383">
        <f t="shared" si="72"/>
        <v>264.99200000000002</v>
      </c>
      <c r="U68" s="383">
        <f t="shared" si="72"/>
        <v>264.99200000000002</v>
      </c>
      <c r="V68" s="383">
        <f t="shared" si="72"/>
        <v>264.99200000000002</v>
      </c>
      <c r="W68" s="383">
        <f t="shared" si="72"/>
        <v>264.99200000000002</v>
      </c>
      <c r="X68" s="383">
        <f t="shared" si="72"/>
        <v>264.99200000000002</v>
      </c>
      <c r="Y68" s="383">
        <f t="shared" si="72"/>
        <v>264.99200000000002</v>
      </c>
      <c r="Z68" s="383">
        <f t="shared" si="72"/>
        <v>264.99200000000002</v>
      </c>
      <c r="AA68" s="383">
        <f t="shared" si="72"/>
        <v>264.99200000000002</v>
      </c>
      <c r="AB68" s="383">
        <f t="shared" si="72"/>
        <v>264.99200000000002</v>
      </c>
      <c r="AC68" s="383">
        <f t="shared" si="72"/>
        <v>275.59168</v>
      </c>
      <c r="AD68" s="383">
        <f t="shared" si="72"/>
        <v>275.59168</v>
      </c>
      <c r="AE68" s="383">
        <f t="shared" si="72"/>
        <v>275.59168</v>
      </c>
      <c r="AF68" s="383">
        <f t="shared" si="72"/>
        <v>275.59168</v>
      </c>
      <c r="AG68" s="383">
        <f t="shared" si="72"/>
        <v>275.59168</v>
      </c>
      <c r="AH68" s="383">
        <f t="shared" si="72"/>
        <v>275.59168</v>
      </c>
      <c r="AI68" s="383">
        <f t="shared" si="72"/>
        <v>275.59168</v>
      </c>
      <c r="AJ68" s="383">
        <f t="shared" si="72"/>
        <v>275.59168</v>
      </c>
      <c r="AK68" s="383">
        <f t="shared" si="72"/>
        <v>275.59168</v>
      </c>
      <c r="AL68" s="383">
        <f t="shared" si="72"/>
        <v>275.59168</v>
      </c>
      <c r="AM68" s="383">
        <f t="shared" si="72"/>
        <v>275.59168</v>
      </c>
      <c r="AN68" s="383">
        <f t="shared" si="72"/>
        <v>275.59168</v>
      </c>
      <c r="AO68" s="383">
        <f t="shared" si="72"/>
        <v>286.61534720000003</v>
      </c>
      <c r="AP68" s="383">
        <f t="shared" si="72"/>
        <v>286.61534720000003</v>
      </c>
      <c r="AQ68" s="383">
        <f t="shared" si="72"/>
        <v>286.61534720000003</v>
      </c>
      <c r="AR68" s="383">
        <f t="shared" si="72"/>
        <v>286.61534720000003</v>
      </c>
      <c r="AS68" s="383">
        <f t="shared" si="72"/>
        <v>286.61534720000003</v>
      </c>
      <c r="AT68" s="383">
        <f t="shared" si="72"/>
        <v>286.61534720000003</v>
      </c>
      <c r="AU68" s="383">
        <f t="shared" si="72"/>
        <v>286.61534720000003</v>
      </c>
      <c r="AV68" s="383">
        <f t="shared" si="72"/>
        <v>286.61534720000003</v>
      </c>
      <c r="AW68" s="383">
        <f t="shared" si="72"/>
        <v>286.61534720000003</v>
      </c>
      <c r="AX68" s="383">
        <f t="shared" si="72"/>
        <v>286.61534720000003</v>
      </c>
      <c r="AY68" s="383">
        <f t="shared" si="72"/>
        <v>286.61534720000003</v>
      </c>
      <c r="AZ68" s="383">
        <f t="shared" si="72"/>
        <v>286.61534720000003</v>
      </c>
      <c r="BA68" s="383">
        <f t="shared" si="72"/>
        <v>298.07996108800006</v>
      </c>
      <c r="BB68" s="383">
        <f t="shared" si="72"/>
        <v>298.07996108800006</v>
      </c>
      <c r="BC68" s="383">
        <f t="shared" si="72"/>
        <v>298.07996108800006</v>
      </c>
      <c r="BD68" s="383">
        <f t="shared" si="72"/>
        <v>298.07996108800006</v>
      </c>
      <c r="BE68" s="383">
        <f t="shared" si="72"/>
        <v>298.07996108800006</v>
      </c>
      <c r="BF68" s="383">
        <f t="shared" si="72"/>
        <v>298.07996108800006</v>
      </c>
      <c r="BG68" s="383">
        <f t="shared" si="72"/>
        <v>298.07996108800006</v>
      </c>
      <c r="BH68" s="383">
        <f t="shared" si="72"/>
        <v>298.07996108800006</v>
      </c>
      <c r="BI68" s="383">
        <f t="shared" si="72"/>
        <v>298.07996108800006</v>
      </c>
      <c r="BJ68" s="383">
        <f t="shared" si="72"/>
        <v>298.07996108800006</v>
      </c>
      <c r="BK68" s="383">
        <f t="shared" si="72"/>
        <v>298.07996108800006</v>
      </c>
      <c r="BL68" s="383">
        <f t="shared" si="72"/>
        <v>298.07996108800006</v>
      </c>
      <c r="BM68" s="383">
        <f t="shared" si="72"/>
        <v>310.00315953152005</v>
      </c>
      <c r="BN68" s="383">
        <f t="shared" si="72"/>
        <v>310.00315953152005</v>
      </c>
      <c r="BO68" s="383">
        <f t="shared" ref="BO68:BX68" si="73">SUM(BO69:BO72)</f>
        <v>310.00315953152005</v>
      </c>
      <c r="BP68" s="383">
        <f t="shared" si="73"/>
        <v>310.00315953152005</v>
      </c>
      <c r="BQ68" s="383">
        <f t="shared" si="73"/>
        <v>310.00315953152005</v>
      </c>
      <c r="BR68" s="383">
        <f t="shared" si="73"/>
        <v>310.00315953152005</v>
      </c>
      <c r="BS68" s="383">
        <f t="shared" si="73"/>
        <v>310.00315953152005</v>
      </c>
      <c r="BT68" s="383">
        <f t="shared" si="73"/>
        <v>310.00315953152005</v>
      </c>
      <c r="BU68" s="383">
        <f t="shared" si="73"/>
        <v>310.00315953152005</v>
      </c>
      <c r="BV68" s="383">
        <f t="shared" si="73"/>
        <v>310.00315953152005</v>
      </c>
      <c r="BW68" s="383">
        <f t="shared" si="73"/>
        <v>310.00315953152005</v>
      </c>
      <c r="BX68" s="383">
        <f t="shared" si="73"/>
        <v>310.00315953152005</v>
      </c>
    </row>
    <row r="69" spans="1:76" s="30" customFormat="1" ht="12.75" customHeight="1" x14ac:dyDescent="0.25">
      <c r="A69" s="152" t="str">
        <f t="shared" si="67"/>
        <v>Шеф-повар</v>
      </c>
      <c r="B69" s="153">
        <f>B44*$C20*('Книга допущений'!$B$20^B$57)*(1+Риски!$B$12)</f>
        <v>0</v>
      </c>
      <c r="C69" s="153">
        <f>C44*$C20*('Книга допущений'!$B$20^C$57)*(1+Риски!$B$12)</f>
        <v>0</v>
      </c>
      <c r="D69" s="153">
        <f>D44*$C20*('Книга допущений'!$B$20^D$57)*(1+Риски!$B$12)</f>
        <v>0</v>
      </c>
      <c r="E69" s="153">
        <f>E44*$C20*('Книга допущений'!$B$20^E$57)*(1+Риски!$B$12)</f>
        <v>0</v>
      </c>
      <c r="F69" s="153">
        <f>F44*$C20*('Книга допущений'!$B$20^F$57)*(1+Риски!$B$12)</f>
        <v>0</v>
      </c>
      <c r="G69" s="153">
        <f>G44*$C20*('Книга допущений'!$B$20^G$57)*(1+Риски!$B$12)</f>
        <v>0</v>
      </c>
      <c r="H69" s="153">
        <f>H44*$C20*('Книга допущений'!$B$20^H$57)*(1+Риски!$B$12)</f>
        <v>0</v>
      </c>
      <c r="I69" s="153">
        <f>I44*$C20*('Книга допущений'!$B$20^I$57)*(1+Риски!$B$12)</f>
        <v>0</v>
      </c>
      <c r="J69" s="153">
        <f>J44*$C20*('Книга допущений'!$B$20^J$57)*(1+Риски!$B$12)</f>
        <v>0</v>
      </c>
      <c r="K69" s="153">
        <f>K44*$C20*('Книга допущений'!$B$20^K$57)*(1+Риски!$B$12)</f>
        <v>41.6</v>
      </c>
      <c r="L69" s="153">
        <f>L44*$C20*('Книга допущений'!$B$20^L$57)*(1+Риски!$B$12)</f>
        <v>41.6</v>
      </c>
      <c r="M69" s="153">
        <f>M44*$C20*('Книга допущений'!$B$20^M$57)*(1+Риски!$B$12)</f>
        <v>41.6</v>
      </c>
      <c r="N69" s="153">
        <f>N44*$C20*('Книга допущений'!$B$20^N$57)*(1+Риски!$B$12)</f>
        <v>41.6</v>
      </c>
      <c r="O69" s="153">
        <f>O44*$C20*('Книга допущений'!$B$20^O$57)*(1+Риски!$B$12)</f>
        <v>41.6</v>
      </c>
      <c r="P69" s="153">
        <f>P44*$C20*('Книга допущений'!$B$20^P$57)*(1+Риски!$B$12)</f>
        <v>41.6</v>
      </c>
      <c r="Q69" s="153">
        <f>Q44*$C20*('Книга допущений'!$B$20^Q$57)*(1+Риски!$B$12)</f>
        <v>43.264000000000003</v>
      </c>
      <c r="R69" s="153">
        <f>R44*$C20*('Книга допущений'!$B$20^R$57)*(1+Риски!$B$12)</f>
        <v>43.264000000000003</v>
      </c>
      <c r="S69" s="153">
        <f>S44*$C20*('Книга допущений'!$B$20^S$57)*(1+Риски!$B$12)</f>
        <v>43.264000000000003</v>
      </c>
      <c r="T69" s="153">
        <f>T44*$C20*('Книга допущений'!$B$20^T$57)*(1+Риски!$B$12)</f>
        <v>43.264000000000003</v>
      </c>
      <c r="U69" s="153">
        <f>U44*$C20*('Книга допущений'!$B$20^U$57)*(1+Риски!$B$12)</f>
        <v>43.264000000000003</v>
      </c>
      <c r="V69" s="153">
        <f>V44*$C20*('Книга допущений'!$B$20^V$57)*(1+Риски!$B$12)</f>
        <v>43.264000000000003</v>
      </c>
      <c r="W69" s="153">
        <f>W44*$C20*('Книга допущений'!$B$20^W$57)*(1+Риски!$B$12)</f>
        <v>43.264000000000003</v>
      </c>
      <c r="X69" s="153">
        <f>X44*$C20*('Книга допущений'!$B$20^X$57)*(1+Риски!$B$12)</f>
        <v>43.264000000000003</v>
      </c>
      <c r="Y69" s="153">
        <f>Y44*$C20*('Книга допущений'!$B$20^Y$57)*(1+Риски!$B$12)</f>
        <v>43.264000000000003</v>
      </c>
      <c r="Z69" s="153">
        <f>Z44*$C20*('Книга допущений'!$B$20^Z$57)*(1+Риски!$B$12)</f>
        <v>43.264000000000003</v>
      </c>
      <c r="AA69" s="153">
        <f>AA44*$C20*('Книга допущений'!$B$20^AA$57)*(1+Риски!$B$12)</f>
        <v>43.264000000000003</v>
      </c>
      <c r="AB69" s="153">
        <f>AB44*$C20*('Книга допущений'!$B$20^AB$57)*(1+Риски!$B$12)</f>
        <v>43.264000000000003</v>
      </c>
      <c r="AC69" s="153">
        <f>AC44*$C20*('Книга допущений'!$B$20^AC$57)*(1+Риски!$B$12)</f>
        <v>44.994560000000007</v>
      </c>
      <c r="AD69" s="153">
        <f>AD44*$C20*('Книга допущений'!$B$20^AD$57)*(1+Риски!$B$12)</f>
        <v>44.994560000000007</v>
      </c>
      <c r="AE69" s="153">
        <f>AE44*$C20*('Книга допущений'!$B$20^AE$57)*(1+Риски!$B$12)</f>
        <v>44.994560000000007</v>
      </c>
      <c r="AF69" s="153">
        <f>AF44*$C20*('Книга допущений'!$B$20^AF$57)*(1+Риски!$B$12)</f>
        <v>44.994560000000007</v>
      </c>
      <c r="AG69" s="153">
        <f>AG44*$C20*('Книга допущений'!$B$20^AG$57)*(1+Риски!$B$12)</f>
        <v>44.994560000000007</v>
      </c>
      <c r="AH69" s="153">
        <f>AH44*$C20*('Книга допущений'!$B$20^AH$57)*(1+Риски!$B$12)</f>
        <v>44.994560000000007</v>
      </c>
      <c r="AI69" s="153">
        <f>AI44*$C20*('Книга допущений'!$B$20^AI$57)*(1+Риски!$B$12)</f>
        <v>44.994560000000007</v>
      </c>
      <c r="AJ69" s="153">
        <f>AJ44*$C20*('Книга допущений'!$B$20^AJ$57)*(1+Риски!$B$12)</f>
        <v>44.994560000000007</v>
      </c>
      <c r="AK69" s="153">
        <f>AK44*$C20*('Книга допущений'!$B$20^AK$57)*(1+Риски!$B$12)</f>
        <v>44.994560000000007</v>
      </c>
      <c r="AL69" s="153">
        <f>AL44*$C20*('Книга допущений'!$B$20^AL$57)*(1+Риски!$B$12)</f>
        <v>44.994560000000007</v>
      </c>
      <c r="AM69" s="153">
        <f>AM44*$C20*('Книга допущений'!$B$20^AM$57)*(1+Риски!$B$12)</f>
        <v>44.994560000000007</v>
      </c>
      <c r="AN69" s="153">
        <f>AN44*$C20*('Книга допущений'!$B$20^AN$57)*(1+Риски!$B$12)</f>
        <v>44.994560000000007</v>
      </c>
      <c r="AO69" s="153">
        <f>AO44*$C20*('Книга допущений'!$B$20^AO$57)*(1+Риски!$B$12)</f>
        <v>46.794342400000005</v>
      </c>
      <c r="AP69" s="153">
        <f>AP44*$C20*('Книга допущений'!$B$20^AP$57)*(1+Риски!$B$12)</f>
        <v>46.794342400000005</v>
      </c>
      <c r="AQ69" s="153">
        <f>AQ44*$C20*('Книга допущений'!$B$20^AQ$57)*(1+Риски!$B$12)</f>
        <v>46.794342400000005</v>
      </c>
      <c r="AR69" s="153">
        <f>AR44*$C20*('Книга допущений'!$B$20^AR$57)*(1+Риски!$B$12)</f>
        <v>46.794342400000005</v>
      </c>
      <c r="AS69" s="153">
        <f>AS44*$C20*('Книга допущений'!$B$20^AS$57)*(1+Риски!$B$12)</f>
        <v>46.794342400000005</v>
      </c>
      <c r="AT69" s="153">
        <f>AT44*$C20*('Книга допущений'!$B$20^AT$57)*(1+Риски!$B$12)</f>
        <v>46.794342400000005</v>
      </c>
      <c r="AU69" s="153">
        <f>AU44*$C20*('Книга допущений'!$B$20^AU$57)*(1+Риски!$B$12)</f>
        <v>46.794342400000005</v>
      </c>
      <c r="AV69" s="153">
        <f>AV44*$C20*('Книга допущений'!$B$20^AV$57)*(1+Риски!$B$12)</f>
        <v>46.794342400000005</v>
      </c>
      <c r="AW69" s="153">
        <f>AW44*$C20*('Книга допущений'!$B$20^AW$57)*(1+Риски!$B$12)</f>
        <v>46.794342400000005</v>
      </c>
      <c r="AX69" s="153">
        <f>AX44*$C20*('Книга допущений'!$B$20^AX$57)*(1+Риски!$B$12)</f>
        <v>46.794342400000005</v>
      </c>
      <c r="AY69" s="153">
        <f>AY44*$C20*('Книга допущений'!$B$20^AY$57)*(1+Риски!$B$12)</f>
        <v>46.794342400000005</v>
      </c>
      <c r="AZ69" s="153">
        <f>AZ44*$C20*('Книга допущений'!$B$20^AZ$57)*(1+Риски!$B$12)</f>
        <v>46.794342400000005</v>
      </c>
      <c r="BA69" s="153">
        <f>BA44*$C20*('Книга допущений'!$B$20^BA$57)*(1+Риски!$B$12)</f>
        <v>48.66611609600001</v>
      </c>
      <c r="BB69" s="153">
        <f>BB44*$C20*('Книга допущений'!$B$20^BB$57)*(1+Риски!$B$12)</f>
        <v>48.66611609600001</v>
      </c>
      <c r="BC69" s="153">
        <f>BC44*$C20*('Книга допущений'!$B$20^BC$57)*(1+Риски!$B$12)</f>
        <v>48.66611609600001</v>
      </c>
      <c r="BD69" s="153">
        <f>BD44*$C20*('Книга допущений'!$B$20^BD$57)*(1+Риски!$B$12)</f>
        <v>48.66611609600001</v>
      </c>
      <c r="BE69" s="153">
        <f>BE44*$C20*('Книга допущений'!$B$20^BE$57)*(1+Риски!$B$12)</f>
        <v>48.66611609600001</v>
      </c>
      <c r="BF69" s="153">
        <f>BF44*$C20*('Книга допущений'!$B$20^BF$57)*(1+Риски!$B$12)</f>
        <v>48.66611609600001</v>
      </c>
      <c r="BG69" s="153">
        <f>BG44*$C20*('Книга допущений'!$B$20^BG$57)*(1+Риски!$B$12)</f>
        <v>48.66611609600001</v>
      </c>
      <c r="BH69" s="153">
        <f>BH44*$C20*('Книга допущений'!$B$20^BH$57)*(1+Риски!$B$12)</f>
        <v>48.66611609600001</v>
      </c>
      <c r="BI69" s="153">
        <f>BI44*$C20*('Книга допущений'!$B$20^BI$57)*(1+Риски!$B$12)</f>
        <v>48.66611609600001</v>
      </c>
      <c r="BJ69" s="153">
        <f>BJ44*$C20*('Книга допущений'!$B$20^BJ$57)*(1+Риски!$B$12)</f>
        <v>48.66611609600001</v>
      </c>
      <c r="BK69" s="153">
        <f>BK44*$C20*('Книга допущений'!$B$20^BK$57)*(1+Риски!$B$12)</f>
        <v>48.66611609600001</v>
      </c>
      <c r="BL69" s="153">
        <f>BL44*$C20*('Книга допущений'!$B$20^BL$57)*(1+Риски!$B$12)</f>
        <v>48.66611609600001</v>
      </c>
      <c r="BM69" s="153">
        <f>BM44*$C20*('Книга допущений'!$B$20^BM$57)*(1+Риски!$B$12)</f>
        <v>50.612760739840013</v>
      </c>
      <c r="BN69" s="153">
        <f>BN44*$C20*('Книга допущений'!$B$20^BN$57)*(1+Риски!$B$12)</f>
        <v>50.612760739840013</v>
      </c>
      <c r="BO69" s="153">
        <f>BO44*$C20*('Книга допущений'!$B$20^BO$57)*(1+Риски!$B$12)</f>
        <v>50.612760739840013</v>
      </c>
      <c r="BP69" s="153">
        <f>BP44*$C20*('Книга допущений'!$B$20^BP$57)*(1+Риски!$B$12)</f>
        <v>50.612760739840013</v>
      </c>
      <c r="BQ69" s="153">
        <f>BQ44*$C20*('Книга допущений'!$B$20^BQ$57)*(1+Риски!$B$12)</f>
        <v>50.612760739840013</v>
      </c>
      <c r="BR69" s="153">
        <f>BR44*$C20*('Книга допущений'!$B$20^BR$57)*(1+Риски!$B$12)</f>
        <v>50.612760739840013</v>
      </c>
      <c r="BS69" s="153">
        <f>BS44*$C20*('Книга допущений'!$B$20^BS$57)*(1+Риски!$B$12)</f>
        <v>50.612760739840013</v>
      </c>
      <c r="BT69" s="153">
        <f>BT44*$C20*('Книга допущений'!$B$20^BT$57)*(1+Риски!$B$12)</f>
        <v>50.612760739840013</v>
      </c>
      <c r="BU69" s="153">
        <f>BU44*$C20*('Книга допущений'!$B$20^BU$57)*(1+Риски!$B$12)</f>
        <v>50.612760739840013</v>
      </c>
      <c r="BV69" s="153">
        <f>BV44*$C20*('Книга допущений'!$B$20^BV$57)*(1+Риски!$B$12)</f>
        <v>50.612760739840013</v>
      </c>
      <c r="BW69" s="153">
        <f>BW44*$C20*('Книга допущений'!$B$20^BW$57)*(1+Риски!$B$12)</f>
        <v>50.612760739840013</v>
      </c>
      <c r="BX69" s="153">
        <f>BX44*$C20*('Книга допущений'!$B$20^BX$57)*(1+Риски!$B$12)</f>
        <v>50.612760739840013</v>
      </c>
    </row>
    <row r="70" spans="1:76" s="30" customFormat="1" ht="12.75" customHeight="1" x14ac:dyDescent="0.25">
      <c r="A70" s="152" t="str">
        <f t="shared" si="67"/>
        <v>Повар</v>
      </c>
      <c r="B70" s="153">
        <f>B45*$C21*('Книга допущений'!$B$20^B$57)*(1+Риски!$B$12)</f>
        <v>0</v>
      </c>
      <c r="C70" s="153">
        <f>C45*$C21*('Книга допущений'!$B$20^C$57)*(1+Риски!$B$12)</f>
        <v>0</v>
      </c>
      <c r="D70" s="153">
        <f>D45*$C21*('Книга допущений'!$B$20^D$57)*(1+Риски!$B$12)</f>
        <v>0</v>
      </c>
      <c r="E70" s="153">
        <f>E45*$C21*('Книга допущений'!$B$20^E$57)*(1+Риски!$B$12)</f>
        <v>0</v>
      </c>
      <c r="F70" s="153">
        <f>F45*$C21*('Книга допущений'!$B$20^F$57)*(1+Риски!$B$12)</f>
        <v>0</v>
      </c>
      <c r="G70" s="153">
        <f>G45*$C21*('Книга допущений'!$B$20^G$57)*(1+Риски!$B$12)</f>
        <v>0</v>
      </c>
      <c r="H70" s="153">
        <f>H45*$C21*('Книга допущений'!$B$20^H$57)*(1+Риски!$B$12)</f>
        <v>0</v>
      </c>
      <c r="I70" s="153">
        <f>I45*$C21*('Книга допущений'!$B$20^I$57)*(1+Риски!$B$12)</f>
        <v>0</v>
      </c>
      <c r="J70" s="153">
        <f>J45*$C21*('Книга допущений'!$B$20^J$57)*(1+Риски!$B$12)</f>
        <v>0</v>
      </c>
      <c r="K70" s="153">
        <f>K45*$C21*('Книга допущений'!$B$20^K$57)*(1+Риски!$B$12)</f>
        <v>0</v>
      </c>
      <c r="L70" s="153">
        <f>L45*$C21*('Книга допущений'!$B$20^L$57)*(1+Риски!$B$12)</f>
        <v>78</v>
      </c>
      <c r="M70" s="153">
        <f>M45*$C21*('Книга допущений'!$B$20^M$57)*(1+Риски!$B$12)</f>
        <v>78</v>
      </c>
      <c r="N70" s="153">
        <f>N45*$C21*('Книга допущений'!$B$20^N$57)*(1+Риски!$B$12)</f>
        <v>78</v>
      </c>
      <c r="O70" s="153">
        <f>O45*$C21*('Книга допущений'!$B$20^O$57)*(1+Риски!$B$12)</f>
        <v>78</v>
      </c>
      <c r="P70" s="153">
        <f>P45*$C21*('Книга допущений'!$B$20^P$57)*(1+Риски!$B$12)</f>
        <v>78</v>
      </c>
      <c r="Q70" s="153">
        <f>Q45*$C21*('Книга допущений'!$B$20^Q$57)*(1+Риски!$B$12)</f>
        <v>81.12</v>
      </c>
      <c r="R70" s="153">
        <f>R45*$C21*('Книга допущений'!$B$20^R$57)*(1+Риски!$B$12)</f>
        <v>81.12</v>
      </c>
      <c r="S70" s="153">
        <f>S45*$C21*('Книга допущений'!$B$20^S$57)*(1+Риски!$B$12)</f>
        <v>81.12</v>
      </c>
      <c r="T70" s="153">
        <f>T45*$C21*('Книга допущений'!$B$20^T$57)*(1+Риски!$B$12)</f>
        <v>81.12</v>
      </c>
      <c r="U70" s="153">
        <f>U45*$C21*('Книга допущений'!$B$20^U$57)*(1+Риски!$B$12)</f>
        <v>81.12</v>
      </c>
      <c r="V70" s="153">
        <f>V45*$C21*('Книга допущений'!$B$20^V$57)*(1+Риски!$B$12)</f>
        <v>81.12</v>
      </c>
      <c r="W70" s="153">
        <f>W45*$C21*('Книга допущений'!$B$20^W$57)*(1+Риски!$B$12)</f>
        <v>81.12</v>
      </c>
      <c r="X70" s="153">
        <f>X45*$C21*('Книга допущений'!$B$20^X$57)*(1+Риски!$B$12)</f>
        <v>81.12</v>
      </c>
      <c r="Y70" s="153">
        <f>Y45*$C21*('Книга допущений'!$B$20^Y$57)*(1+Риски!$B$12)</f>
        <v>81.12</v>
      </c>
      <c r="Z70" s="153">
        <f>Z45*$C21*('Книга допущений'!$B$20^Z$57)*(1+Риски!$B$12)</f>
        <v>81.12</v>
      </c>
      <c r="AA70" s="153">
        <f>AA45*$C21*('Книга допущений'!$B$20^AA$57)*(1+Риски!$B$12)</f>
        <v>81.12</v>
      </c>
      <c r="AB70" s="153">
        <f>AB45*$C21*('Книга допущений'!$B$20^AB$57)*(1+Риски!$B$12)</f>
        <v>81.12</v>
      </c>
      <c r="AC70" s="153">
        <f>AC45*$C21*('Книга допущений'!$B$20^AC$57)*(1+Риски!$B$12)</f>
        <v>84.364800000000002</v>
      </c>
      <c r="AD70" s="153">
        <f>AD45*$C21*('Книга допущений'!$B$20^AD$57)*(1+Риски!$B$12)</f>
        <v>84.364800000000002</v>
      </c>
      <c r="AE70" s="153">
        <f>AE45*$C21*('Книга допущений'!$B$20^AE$57)*(1+Риски!$B$12)</f>
        <v>84.364800000000002</v>
      </c>
      <c r="AF70" s="153">
        <f>AF45*$C21*('Книга допущений'!$B$20^AF$57)*(1+Риски!$B$12)</f>
        <v>84.364800000000002</v>
      </c>
      <c r="AG70" s="153">
        <f>AG45*$C21*('Книга допущений'!$B$20^AG$57)*(1+Риски!$B$12)</f>
        <v>84.364800000000002</v>
      </c>
      <c r="AH70" s="153">
        <f>AH45*$C21*('Книга допущений'!$B$20^AH$57)*(1+Риски!$B$12)</f>
        <v>84.364800000000002</v>
      </c>
      <c r="AI70" s="153">
        <f>AI45*$C21*('Книга допущений'!$B$20^AI$57)*(1+Риски!$B$12)</f>
        <v>84.364800000000002</v>
      </c>
      <c r="AJ70" s="153">
        <f>AJ45*$C21*('Книга допущений'!$B$20^AJ$57)*(1+Риски!$B$12)</f>
        <v>84.364800000000002</v>
      </c>
      <c r="AK70" s="153">
        <f>AK45*$C21*('Книга допущений'!$B$20^AK$57)*(1+Риски!$B$12)</f>
        <v>84.364800000000002</v>
      </c>
      <c r="AL70" s="153">
        <f>AL45*$C21*('Книга допущений'!$B$20^AL$57)*(1+Риски!$B$12)</f>
        <v>84.364800000000002</v>
      </c>
      <c r="AM70" s="153">
        <f>AM45*$C21*('Книга допущений'!$B$20^AM$57)*(1+Риски!$B$12)</f>
        <v>84.364800000000002</v>
      </c>
      <c r="AN70" s="153">
        <f>AN45*$C21*('Книга допущений'!$B$20^AN$57)*(1+Риски!$B$12)</f>
        <v>84.364800000000002</v>
      </c>
      <c r="AO70" s="153">
        <f>AO45*$C21*('Книга допущений'!$B$20^AO$57)*(1+Риски!$B$12)</f>
        <v>87.739392000000009</v>
      </c>
      <c r="AP70" s="153">
        <f>AP45*$C21*('Книга допущений'!$B$20^AP$57)*(1+Риски!$B$12)</f>
        <v>87.739392000000009</v>
      </c>
      <c r="AQ70" s="153">
        <f>AQ45*$C21*('Книга допущений'!$B$20^AQ$57)*(1+Риски!$B$12)</f>
        <v>87.739392000000009</v>
      </c>
      <c r="AR70" s="153">
        <f>AR45*$C21*('Книга допущений'!$B$20^AR$57)*(1+Риски!$B$12)</f>
        <v>87.739392000000009</v>
      </c>
      <c r="AS70" s="153">
        <f>AS45*$C21*('Книга допущений'!$B$20^AS$57)*(1+Риски!$B$12)</f>
        <v>87.739392000000009</v>
      </c>
      <c r="AT70" s="153">
        <f>AT45*$C21*('Книга допущений'!$B$20^AT$57)*(1+Риски!$B$12)</f>
        <v>87.739392000000009</v>
      </c>
      <c r="AU70" s="153">
        <f>AU45*$C21*('Книга допущений'!$B$20^AU$57)*(1+Риски!$B$12)</f>
        <v>87.739392000000009</v>
      </c>
      <c r="AV70" s="153">
        <f>AV45*$C21*('Книга допущений'!$B$20^AV$57)*(1+Риски!$B$12)</f>
        <v>87.739392000000009</v>
      </c>
      <c r="AW70" s="153">
        <f>AW45*$C21*('Книга допущений'!$B$20^AW$57)*(1+Риски!$B$12)</f>
        <v>87.739392000000009</v>
      </c>
      <c r="AX70" s="153">
        <f>AX45*$C21*('Книга допущений'!$B$20^AX$57)*(1+Риски!$B$12)</f>
        <v>87.739392000000009</v>
      </c>
      <c r="AY70" s="153">
        <f>AY45*$C21*('Книга допущений'!$B$20^AY$57)*(1+Риски!$B$12)</f>
        <v>87.739392000000009</v>
      </c>
      <c r="AZ70" s="153">
        <f>AZ45*$C21*('Книга допущений'!$B$20^AZ$57)*(1+Риски!$B$12)</f>
        <v>87.739392000000009</v>
      </c>
      <c r="BA70" s="153">
        <f>BA45*$C21*('Книга допущений'!$B$20^BA$57)*(1+Риски!$B$12)</f>
        <v>91.248967680000021</v>
      </c>
      <c r="BB70" s="153">
        <f>BB45*$C21*('Книга допущений'!$B$20^BB$57)*(1+Риски!$B$12)</f>
        <v>91.248967680000021</v>
      </c>
      <c r="BC70" s="153">
        <f>BC45*$C21*('Книга допущений'!$B$20^BC$57)*(1+Риски!$B$12)</f>
        <v>91.248967680000021</v>
      </c>
      <c r="BD70" s="153">
        <f>BD45*$C21*('Книга допущений'!$B$20^BD$57)*(1+Риски!$B$12)</f>
        <v>91.248967680000021</v>
      </c>
      <c r="BE70" s="153">
        <f>BE45*$C21*('Книга допущений'!$B$20^BE$57)*(1+Риски!$B$12)</f>
        <v>91.248967680000021</v>
      </c>
      <c r="BF70" s="153">
        <f>BF45*$C21*('Книга допущений'!$B$20^BF$57)*(1+Риски!$B$12)</f>
        <v>91.248967680000021</v>
      </c>
      <c r="BG70" s="153">
        <f>BG45*$C21*('Книга допущений'!$B$20^BG$57)*(1+Риски!$B$12)</f>
        <v>91.248967680000021</v>
      </c>
      <c r="BH70" s="153">
        <f>BH45*$C21*('Книга допущений'!$B$20^BH$57)*(1+Риски!$B$12)</f>
        <v>91.248967680000021</v>
      </c>
      <c r="BI70" s="153">
        <f>BI45*$C21*('Книга допущений'!$B$20^BI$57)*(1+Риски!$B$12)</f>
        <v>91.248967680000021</v>
      </c>
      <c r="BJ70" s="153">
        <f>BJ45*$C21*('Книга допущений'!$B$20^BJ$57)*(1+Риски!$B$12)</f>
        <v>91.248967680000021</v>
      </c>
      <c r="BK70" s="153">
        <f>BK45*$C21*('Книга допущений'!$B$20^BK$57)*(1+Риски!$B$12)</f>
        <v>91.248967680000021</v>
      </c>
      <c r="BL70" s="153">
        <f>BL45*$C21*('Книга допущений'!$B$20^BL$57)*(1+Риски!$B$12)</f>
        <v>91.248967680000021</v>
      </c>
      <c r="BM70" s="153">
        <f>BM45*$C21*('Книга допущений'!$B$20^BM$57)*(1+Риски!$B$12)</f>
        <v>94.898926387200021</v>
      </c>
      <c r="BN70" s="153">
        <f>BN45*$C21*('Книга допущений'!$B$20^BN$57)*(1+Риски!$B$12)</f>
        <v>94.898926387200021</v>
      </c>
      <c r="BO70" s="153">
        <f>BO45*$C21*('Книга допущений'!$B$20^BO$57)*(1+Риски!$B$12)</f>
        <v>94.898926387200021</v>
      </c>
      <c r="BP70" s="153">
        <f>BP45*$C21*('Книга допущений'!$B$20^BP$57)*(1+Риски!$B$12)</f>
        <v>94.898926387200021</v>
      </c>
      <c r="BQ70" s="153">
        <f>BQ45*$C21*('Книга допущений'!$B$20^BQ$57)*(1+Риски!$B$12)</f>
        <v>94.898926387200021</v>
      </c>
      <c r="BR70" s="153">
        <f>BR45*$C21*('Книга допущений'!$B$20^BR$57)*(1+Риски!$B$12)</f>
        <v>94.898926387200021</v>
      </c>
      <c r="BS70" s="153">
        <f>BS45*$C21*('Книга допущений'!$B$20^BS$57)*(1+Риски!$B$12)</f>
        <v>94.898926387200021</v>
      </c>
      <c r="BT70" s="153">
        <f>BT45*$C21*('Книга допущений'!$B$20^BT$57)*(1+Риски!$B$12)</f>
        <v>94.898926387200021</v>
      </c>
      <c r="BU70" s="153">
        <f>BU45*$C21*('Книга допущений'!$B$20^BU$57)*(1+Риски!$B$12)</f>
        <v>94.898926387200021</v>
      </c>
      <c r="BV70" s="153">
        <f>BV45*$C21*('Книга допущений'!$B$20^BV$57)*(1+Риски!$B$12)</f>
        <v>94.898926387200021</v>
      </c>
      <c r="BW70" s="153">
        <f>BW45*$C21*('Книга допущений'!$B$20^BW$57)*(1+Риски!$B$12)</f>
        <v>94.898926387200021</v>
      </c>
      <c r="BX70" s="153">
        <f>BX45*$C21*('Книга допущений'!$B$20^BX$57)*(1+Риски!$B$12)</f>
        <v>94.898926387200021</v>
      </c>
    </row>
    <row r="71" spans="1:76" s="30" customFormat="1" ht="12.75" customHeight="1" x14ac:dyDescent="0.25">
      <c r="A71" s="152" t="str">
        <f t="shared" si="67"/>
        <v>Администратор ресторана</v>
      </c>
      <c r="B71" s="153">
        <f>B46*$C22*('Книга допущений'!$B$20^B$57)*(1+Риски!$B$12)</f>
        <v>0</v>
      </c>
      <c r="C71" s="153">
        <f>C46*$C22*('Книга допущений'!$B$20^C$57)*(1+Риски!$B$12)</f>
        <v>0</v>
      </c>
      <c r="D71" s="153">
        <f>D46*$C22*('Книга допущений'!$B$20^D$57)*(1+Риски!$B$12)</f>
        <v>0</v>
      </c>
      <c r="E71" s="153">
        <f>E46*$C22*('Книга допущений'!$B$20^E$57)*(1+Риски!$B$12)</f>
        <v>0</v>
      </c>
      <c r="F71" s="153">
        <f>F46*$C22*('Книга допущений'!$B$20^F$57)*(1+Риски!$B$12)</f>
        <v>0</v>
      </c>
      <c r="G71" s="153">
        <f>G46*$C22*('Книга допущений'!$B$20^G$57)*(1+Риски!$B$12)</f>
        <v>0</v>
      </c>
      <c r="H71" s="153">
        <f>H46*$C22*('Книга допущений'!$B$20^H$57)*(1+Риски!$B$12)</f>
        <v>0</v>
      </c>
      <c r="I71" s="153">
        <f>I46*$C22*('Книга допущений'!$B$20^I$57)*(1+Риски!$B$12)</f>
        <v>0</v>
      </c>
      <c r="J71" s="153">
        <f>J46*$C22*('Книга допущений'!$B$20^J$57)*(1+Риски!$B$12)</f>
        <v>0</v>
      </c>
      <c r="K71" s="153">
        <f>K46*$C22*('Книга допущений'!$B$20^K$57)*(1+Риски!$B$12)</f>
        <v>0</v>
      </c>
      <c r="L71" s="153">
        <f>L46*$C22*('Книга допущений'!$B$20^L$57)*(1+Риски!$B$12)</f>
        <v>52</v>
      </c>
      <c r="M71" s="153">
        <f>M46*$C22*('Книга допущений'!$B$20^M$57)*(1+Риски!$B$12)</f>
        <v>52</v>
      </c>
      <c r="N71" s="153">
        <f>N46*$C22*('Книга допущений'!$B$20^N$57)*(1+Риски!$B$12)</f>
        <v>52</v>
      </c>
      <c r="O71" s="153">
        <f>O46*$C22*('Книга допущений'!$B$20^O$57)*(1+Риски!$B$12)</f>
        <v>52</v>
      </c>
      <c r="P71" s="153">
        <f>P46*$C22*('Книга допущений'!$B$20^P$57)*(1+Риски!$B$12)</f>
        <v>52</v>
      </c>
      <c r="Q71" s="153">
        <f>Q46*$C22*('Книга допущений'!$B$20^Q$57)*(1+Риски!$B$12)</f>
        <v>54.080000000000005</v>
      </c>
      <c r="R71" s="153">
        <f>R46*$C22*('Книга допущений'!$B$20^R$57)*(1+Риски!$B$12)</f>
        <v>54.080000000000005</v>
      </c>
      <c r="S71" s="153">
        <f>S46*$C22*('Книга допущений'!$B$20^S$57)*(1+Риски!$B$12)</f>
        <v>54.080000000000005</v>
      </c>
      <c r="T71" s="153">
        <f>T46*$C22*('Книга допущений'!$B$20^T$57)*(1+Риски!$B$12)</f>
        <v>54.080000000000005</v>
      </c>
      <c r="U71" s="153">
        <f>U46*$C22*('Книга допущений'!$B$20^U$57)*(1+Риски!$B$12)</f>
        <v>54.080000000000005</v>
      </c>
      <c r="V71" s="153">
        <f>V46*$C22*('Книга допущений'!$B$20^V$57)*(1+Риски!$B$12)</f>
        <v>54.080000000000005</v>
      </c>
      <c r="W71" s="153">
        <f>W46*$C22*('Книга допущений'!$B$20^W$57)*(1+Риски!$B$12)</f>
        <v>54.080000000000005</v>
      </c>
      <c r="X71" s="153">
        <f>X46*$C22*('Книга допущений'!$B$20^X$57)*(1+Риски!$B$12)</f>
        <v>54.080000000000005</v>
      </c>
      <c r="Y71" s="153">
        <f>Y46*$C22*('Книга допущений'!$B$20^Y$57)*(1+Риски!$B$12)</f>
        <v>54.080000000000005</v>
      </c>
      <c r="Z71" s="153">
        <f>Z46*$C22*('Книга допущений'!$B$20^Z$57)*(1+Риски!$B$12)</f>
        <v>54.080000000000005</v>
      </c>
      <c r="AA71" s="153">
        <f>AA46*$C22*('Книга допущений'!$B$20^AA$57)*(1+Риски!$B$12)</f>
        <v>54.080000000000005</v>
      </c>
      <c r="AB71" s="153">
        <f>AB46*$C22*('Книга допущений'!$B$20^AB$57)*(1+Риски!$B$12)</f>
        <v>54.080000000000005</v>
      </c>
      <c r="AC71" s="153">
        <f>AC46*$C22*('Книга допущений'!$B$20^AC$57)*(1+Риски!$B$12)</f>
        <v>56.243200000000002</v>
      </c>
      <c r="AD71" s="153">
        <f>AD46*$C22*('Книга допущений'!$B$20^AD$57)*(1+Риски!$B$12)</f>
        <v>56.243200000000002</v>
      </c>
      <c r="AE71" s="153">
        <f>AE46*$C22*('Книга допущений'!$B$20^AE$57)*(1+Риски!$B$12)</f>
        <v>56.243200000000002</v>
      </c>
      <c r="AF71" s="153">
        <f>AF46*$C22*('Книга допущений'!$B$20^AF$57)*(1+Риски!$B$12)</f>
        <v>56.243200000000002</v>
      </c>
      <c r="AG71" s="153">
        <f>AG46*$C22*('Книга допущений'!$B$20^AG$57)*(1+Риски!$B$12)</f>
        <v>56.243200000000002</v>
      </c>
      <c r="AH71" s="153">
        <f>AH46*$C22*('Книга допущений'!$B$20^AH$57)*(1+Риски!$B$12)</f>
        <v>56.243200000000002</v>
      </c>
      <c r="AI71" s="153">
        <f>AI46*$C22*('Книга допущений'!$B$20^AI$57)*(1+Риски!$B$12)</f>
        <v>56.243200000000002</v>
      </c>
      <c r="AJ71" s="153">
        <f>AJ46*$C22*('Книга допущений'!$B$20^AJ$57)*(1+Риски!$B$12)</f>
        <v>56.243200000000002</v>
      </c>
      <c r="AK71" s="153">
        <f>AK46*$C22*('Книга допущений'!$B$20^AK$57)*(1+Риски!$B$12)</f>
        <v>56.243200000000002</v>
      </c>
      <c r="AL71" s="153">
        <f>AL46*$C22*('Книга допущений'!$B$20^AL$57)*(1+Риски!$B$12)</f>
        <v>56.243200000000002</v>
      </c>
      <c r="AM71" s="153">
        <f>AM46*$C22*('Книга допущений'!$B$20^AM$57)*(1+Риски!$B$12)</f>
        <v>56.243200000000002</v>
      </c>
      <c r="AN71" s="153">
        <f>AN46*$C22*('Книга допущений'!$B$20^AN$57)*(1+Риски!$B$12)</f>
        <v>56.243200000000002</v>
      </c>
      <c r="AO71" s="153">
        <f>AO46*$C22*('Книга допущений'!$B$20^AO$57)*(1+Риски!$B$12)</f>
        <v>58.492928000000013</v>
      </c>
      <c r="AP71" s="153">
        <f>AP46*$C22*('Книга допущений'!$B$20^AP$57)*(1+Риски!$B$12)</f>
        <v>58.492928000000013</v>
      </c>
      <c r="AQ71" s="153">
        <f>AQ46*$C22*('Книга допущений'!$B$20^AQ$57)*(1+Риски!$B$12)</f>
        <v>58.492928000000013</v>
      </c>
      <c r="AR71" s="153">
        <f>AR46*$C22*('Книга допущений'!$B$20^AR$57)*(1+Риски!$B$12)</f>
        <v>58.492928000000013</v>
      </c>
      <c r="AS71" s="153">
        <f>AS46*$C22*('Книга допущений'!$B$20^AS$57)*(1+Риски!$B$12)</f>
        <v>58.492928000000013</v>
      </c>
      <c r="AT71" s="153">
        <f>AT46*$C22*('Книга допущений'!$B$20^AT$57)*(1+Риски!$B$12)</f>
        <v>58.492928000000013</v>
      </c>
      <c r="AU71" s="153">
        <f>AU46*$C22*('Книга допущений'!$B$20^AU$57)*(1+Риски!$B$12)</f>
        <v>58.492928000000013</v>
      </c>
      <c r="AV71" s="153">
        <f>AV46*$C22*('Книга допущений'!$B$20^AV$57)*(1+Риски!$B$12)</f>
        <v>58.492928000000013</v>
      </c>
      <c r="AW71" s="153">
        <f>AW46*$C22*('Книга допущений'!$B$20^AW$57)*(1+Риски!$B$12)</f>
        <v>58.492928000000013</v>
      </c>
      <c r="AX71" s="153">
        <f>AX46*$C22*('Книга допущений'!$B$20^AX$57)*(1+Риски!$B$12)</f>
        <v>58.492928000000013</v>
      </c>
      <c r="AY71" s="153">
        <f>AY46*$C22*('Книга допущений'!$B$20^AY$57)*(1+Риски!$B$12)</f>
        <v>58.492928000000013</v>
      </c>
      <c r="AZ71" s="153">
        <f>AZ46*$C22*('Книга допущений'!$B$20^AZ$57)*(1+Риски!$B$12)</f>
        <v>58.492928000000013</v>
      </c>
      <c r="BA71" s="153">
        <f>BA46*$C22*('Книга допущений'!$B$20^BA$57)*(1+Риски!$B$12)</f>
        <v>60.832645120000016</v>
      </c>
      <c r="BB71" s="153">
        <f>BB46*$C22*('Книга допущений'!$B$20^BB$57)*(1+Риски!$B$12)</f>
        <v>60.832645120000016</v>
      </c>
      <c r="BC71" s="153">
        <f>BC46*$C22*('Книга допущений'!$B$20^BC$57)*(1+Риски!$B$12)</f>
        <v>60.832645120000016</v>
      </c>
      <c r="BD71" s="153">
        <f>BD46*$C22*('Книга допущений'!$B$20^BD$57)*(1+Риски!$B$12)</f>
        <v>60.832645120000016</v>
      </c>
      <c r="BE71" s="153">
        <f>BE46*$C22*('Книга допущений'!$B$20^BE$57)*(1+Риски!$B$12)</f>
        <v>60.832645120000016</v>
      </c>
      <c r="BF71" s="153">
        <f>BF46*$C22*('Книга допущений'!$B$20^BF$57)*(1+Риски!$B$12)</f>
        <v>60.832645120000016</v>
      </c>
      <c r="BG71" s="153">
        <f>BG46*$C22*('Книга допущений'!$B$20^BG$57)*(1+Риски!$B$12)</f>
        <v>60.832645120000016</v>
      </c>
      <c r="BH71" s="153">
        <f>BH46*$C22*('Книга допущений'!$B$20^BH$57)*(1+Риски!$B$12)</f>
        <v>60.832645120000016</v>
      </c>
      <c r="BI71" s="153">
        <f>BI46*$C22*('Книга допущений'!$B$20^BI$57)*(1+Риски!$B$12)</f>
        <v>60.832645120000016</v>
      </c>
      <c r="BJ71" s="153">
        <f>BJ46*$C22*('Книга допущений'!$B$20^BJ$57)*(1+Риски!$B$12)</f>
        <v>60.832645120000016</v>
      </c>
      <c r="BK71" s="153">
        <f>BK46*$C22*('Книга допущений'!$B$20^BK$57)*(1+Риски!$B$12)</f>
        <v>60.832645120000016</v>
      </c>
      <c r="BL71" s="153">
        <f>BL46*$C22*('Книга допущений'!$B$20^BL$57)*(1+Риски!$B$12)</f>
        <v>60.832645120000016</v>
      </c>
      <c r="BM71" s="153">
        <f>BM46*$C22*('Книга допущений'!$B$20^BM$57)*(1+Риски!$B$12)</f>
        <v>63.265950924800016</v>
      </c>
      <c r="BN71" s="153">
        <f>BN46*$C22*('Книга допущений'!$B$20^BN$57)*(1+Риски!$B$12)</f>
        <v>63.265950924800016</v>
      </c>
      <c r="BO71" s="153">
        <f>BO46*$C22*('Книга допущений'!$B$20^BO$57)*(1+Риски!$B$12)</f>
        <v>63.265950924800016</v>
      </c>
      <c r="BP71" s="153">
        <f>BP46*$C22*('Книга допущений'!$B$20^BP$57)*(1+Риски!$B$12)</f>
        <v>63.265950924800016</v>
      </c>
      <c r="BQ71" s="153">
        <f>BQ46*$C22*('Книга допущений'!$B$20^BQ$57)*(1+Риски!$B$12)</f>
        <v>63.265950924800016</v>
      </c>
      <c r="BR71" s="153">
        <f>BR46*$C22*('Книга допущений'!$B$20^BR$57)*(1+Риски!$B$12)</f>
        <v>63.265950924800016</v>
      </c>
      <c r="BS71" s="153">
        <f>BS46*$C22*('Книга допущений'!$B$20^BS$57)*(1+Риски!$B$12)</f>
        <v>63.265950924800016</v>
      </c>
      <c r="BT71" s="153">
        <f>BT46*$C22*('Книга допущений'!$B$20^BT$57)*(1+Риски!$B$12)</f>
        <v>63.265950924800016</v>
      </c>
      <c r="BU71" s="153">
        <f>BU46*$C22*('Книга допущений'!$B$20^BU$57)*(1+Риски!$B$12)</f>
        <v>63.265950924800016</v>
      </c>
      <c r="BV71" s="153">
        <f>BV46*$C22*('Книга допущений'!$B$20^BV$57)*(1+Риски!$B$12)</f>
        <v>63.265950924800016</v>
      </c>
      <c r="BW71" s="153">
        <f>BW46*$C22*('Книга допущений'!$B$20^BW$57)*(1+Риски!$B$12)</f>
        <v>63.265950924800016</v>
      </c>
      <c r="BX71" s="153">
        <f>BX46*$C22*('Книга допущений'!$B$20^BX$57)*(1+Риски!$B$12)</f>
        <v>63.265950924800016</v>
      </c>
    </row>
    <row r="72" spans="1:76" s="30" customFormat="1" ht="12.75" customHeight="1" x14ac:dyDescent="0.25">
      <c r="A72" s="152" t="str">
        <f t="shared" si="67"/>
        <v>Официант/бариста</v>
      </c>
      <c r="B72" s="153">
        <f>B47*$C23*('Книга допущений'!$B$20^B$57)*(1+Риски!$B$12)</f>
        <v>0</v>
      </c>
      <c r="C72" s="153">
        <f>C47*$C23*('Книга допущений'!$B$20^C$57)*(1+Риски!$B$12)</f>
        <v>0</v>
      </c>
      <c r="D72" s="153">
        <f>D47*$C23*('Книга допущений'!$B$20^D$57)*(1+Риски!$B$12)</f>
        <v>0</v>
      </c>
      <c r="E72" s="153">
        <f>E47*$C23*('Книга допущений'!$B$20^E$57)*(1+Риски!$B$12)</f>
        <v>0</v>
      </c>
      <c r="F72" s="153">
        <f>F47*$C23*('Книга допущений'!$B$20^F$57)*(1+Риски!$B$12)</f>
        <v>0</v>
      </c>
      <c r="G72" s="153">
        <f>G47*$C23*('Книга допущений'!$B$20^G$57)*(1+Риски!$B$12)</f>
        <v>0</v>
      </c>
      <c r="H72" s="153">
        <f>H47*$C23*('Книга допущений'!$B$20^H$57)*(1+Риски!$B$12)</f>
        <v>0</v>
      </c>
      <c r="I72" s="153">
        <f>I47*$C23*('Книга допущений'!$B$20^I$57)*(1+Риски!$B$12)</f>
        <v>0</v>
      </c>
      <c r="J72" s="153">
        <f>J47*$C23*('Книга допущений'!$B$20^J$57)*(1+Риски!$B$12)</f>
        <v>0</v>
      </c>
      <c r="K72" s="153">
        <f>K47*$C23*('Книга допущений'!$B$20^K$57)*(1+Риски!$B$12)</f>
        <v>0</v>
      </c>
      <c r="L72" s="153">
        <f>L47*$C23*('Книга допущений'!$B$20^L$57)*(1+Риски!$B$12)</f>
        <v>83.2</v>
      </c>
      <c r="M72" s="153">
        <f>M47*$C23*('Книга допущений'!$B$20^M$57)*(1+Риски!$B$12)</f>
        <v>83.2</v>
      </c>
      <c r="N72" s="153">
        <f>N47*$C23*('Книга допущений'!$B$20^N$57)*(1+Риски!$B$12)</f>
        <v>83.2</v>
      </c>
      <c r="O72" s="153">
        <f>O47*$C23*('Книга допущений'!$B$20^O$57)*(1+Риски!$B$12)</f>
        <v>83.2</v>
      </c>
      <c r="P72" s="153">
        <f>P47*$C23*('Книга допущений'!$B$20^P$57)*(1+Риски!$B$12)</f>
        <v>83.2</v>
      </c>
      <c r="Q72" s="153">
        <f>Q47*$C23*('Книга допущений'!$B$20^Q$57)*(1+Риски!$B$12)</f>
        <v>86.528000000000006</v>
      </c>
      <c r="R72" s="153">
        <f>R47*$C23*('Книга допущений'!$B$20^R$57)*(1+Риски!$B$12)</f>
        <v>86.528000000000006</v>
      </c>
      <c r="S72" s="153">
        <f>S47*$C23*('Книга допущений'!$B$20^S$57)*(1+Риски!$B$12)</f>
        <v>86.528000000000006</v>
      </c>
      <c r="T72" s="153">
        <f>T47*$C23*('Книга допущений'!$B$20^T$57)*(1+Риски!$B$12)</f>
        <v>86.528000000000006</v>
      </c>
      <c r="U72" s="153">
        <f>U47*$C23*('Книга допущений'!$B$20^U$57)*(1+Риски!$B$12)</f>
        <v>86.528000000000006</v>
      </c>
      <c r="V72" s="153">
        <f>V47*$C23*('Книга допущений'!$B$20^V$57)*(1+Риски!$B$12)</f>
        <v>86.528000000000006</v>
      </c>
      <c r="W72" s="153">
        <f>W47*$C23*('Книга допущений'!$B$20^W$57)*(1+Риски!$B$12)</f>
        <v>86.528000000000006</v>
      </c>
      <c r="X72" s="153">
        <f>X47*$C23*('Книга допущений'!$B$20^X$57)*(1+Риски!$B$12)</f>
        <v>86.528000000000006</v>
      </c>
      <c r="Y72" s="153">
        <f>Y47*$C23*('Книга допущений'!$B$20^Y$57)*(1+Риски!$B$12)</f>
        <v>86.528000000000006</v>
      </c>
      <c r="Z72" s="153">
        <f>Z47*$C23*('Книга допущений'!$B$20^Z$57)*(1+Риски!$B$12)</f>
        <v>86.528000000000006</v>
      </c>
      <c r="AA72" s="153">
        <f>AA47*$C23*('Книга допущений'!$B$20^AA$57)*(1+Риски!$B$12)</f>
        <v>86.528000000000006</v>
      </c>
      <c r="AB72" s="153">
        <f>AB47*$C23*('Книга допущений'!$B$20^AB$57)*(1+Риски!$B$12)</f>
        <v>86.528000000000006</v>
      </c>
      <c r="AC72" s="153">
        <f>AC47*$C23*('Книга допущений'!$B$20^AC$57)*(1+Риски!$B$12)</f>
        <v>89.989120000000014</v>
      </c>
      <c r="AD72" s="153">
        <f>AD47*$C23*('Книга допущений'!$B$20^AD$57)*(1+Риски!$B$12)</f>
        <v>89.989120000000014</v>
      </c>
      <c r="AE72" s="153">
        <f>AE47*$C23*('Книга допущений'!$B$20^AE$57)*(1+Риски!$B$12)</f>
        <v>89.989120000000014</v>
      </c>
      <c r="AF72" s="153">
        <f>AF47*$C23*('Книга допущений'!$B$20^AF$57)*(1+Риски!$B$12)</f>
        <v>89.989120000000014</v>
      </c>
      <c r="AG72" s="153">
        <f>AG47*$C23*('Книга допущений'!$B$20^AG$57)*(1+Риски!$B$12)</f>
        <v>89.989120000000014</v>
      </c>
      <c r="AH72" s="153">
        <f>AH47*$C23*('Книга допущений'!$B$20^AH$57)*(1+Риски!$B$12)</f>
        <v>89.989120000000014</v>
      </c>
      <c r="AI72" s="153">
        <f>AI47*$C23*('Книга допущений'!$B$20^AI$57)*(1+Риски!$B$12)</f>
        <v>89.989120000000014</v>
      </c>
      <c r="AJ72" s="153">
        <f>AJ47*$C23*('Книга допущений'!$B$20^AJ$57)*(1+Риски!$B$12)</f>
        <v>89.989120000000014</v>
      </c>
      <c r="AK72" s="153">
        <f>AK47*$C23*('Книга допущений'!$B$20^AK$57)*(1+Риски!$B$12)</f>
        <v>89.989120000000014</v>
      </c>
      <c r="AL72" s="153">
        <f>AL47*$C23*('Книга допущений'!$B$20^AL$57)*(1+Риски!$B$12)</f>
        <v>89.989120000000014</v>
      </c>
      <c r="AM72" s="153">
        <f>AM47*$C23*('Книга допущений'!$B$20^AM$57)*(1+Риски!$B$12)</f>
        <v>89.989120000000014</v>
      </c>
      <c r="AN72" s="153">
        <f>AN47*$C23*('Книга допущений'!$B$20^AN$57)*(1+Риски!$B$12)</f>
        <v>89.989120000000014</v>
      </c>
      <c r="AO72" s="153">
        <f>AO47*$C23*('Книга допущений'!$B$20^AO$57)*(1+Риски!$B$12)</f>
        <v>93.58868480000001</v>
      </c>
      <c r="AP72" s="153">
        <f>AP47*$C23*('Книга допущений'!$B$20^AP$57)*(1+Риски!$B$12)</f>
        <v>93.58868480000001</v>
      </c>
      <c r="AQ72" s="153">
        <f>AQ47*$C23*('Книга допущений'!$B$20^AQ$57)*(1+Риски!$B$12)</f>
        <v>93.58868480000001</v>
      </c>
      <c r="AR72" s="153">
        <f>AR47*$C23*('Книга допущений'!$B$20^AR$57)*(1+Риски!$B$12)</f>
        <v>93.58868480000001</v>
      </c>
      <c r="AS72" s="153">
        <f>AS47*$C23*('Книга допущений'!$B$20^AS$57)*(1+Риски!$B$12)</f>
        <v>93.58868480000001</v>
      </c>
      <c r="AT72" s="153">
        <f>AT47*$C23*('Книга допущений'!$B$20^AT$57)*(1+Риски!$B$12)</f>
        <v>93.58868480000001</v>
      </c>
      <c r="AU72" s="153">
        <f>AU47*$C23*('Книга допущений'!$B$20^AU$57)*(1+Риски!$B$12)</f>
        <v>93.58868480000001</v>
      </c>
      <c r="AV72" s="153">
        <f>AV47*$C23*('Книга допущений'!$B$20^AV$57)*(1+Риски!$B$12)</f>
        <v>93.58868480000001</v>
      </c>
      <c r="AW72" s="153">
        <f>AW47*$C23*('Книга допущений'!$B$20^AW$57)*(1+Риски!$B$12)</f>
        <v>93.58868480000001</v>
      </c>
      <c r="AX72" s="153">
        <f>AX47*$C23*('Книга допущений'!$B$20^AX$57)*(1+Риски!$B$12)</f>
        <v>93.58868480000001</v>
      </c>
      <c r="AY72" s="153">
        <f>AY47*$C23*('Книга допущений'!$B$20^AY$57)*(1+Риски!$B$12)</f>
        <v>93.58868480000001</v>
      </c>
      <c r="AZ72" s="153">
        <f>AZ47*$C23*('Книга допущений'!$B$20^AZ$57)*(1+Риски!$B$12)</f>
        <v>93.58868480000001</v>
      </c>
      <c r="BA72" s="153">
        <f>BA47*$C23*('Книга допущений'!$B$20^BA$57)*(1+Риски!$B$12)</f>
        <v>97.332232192000021</v>
      </c>
      <c r="BB72" s="153">
        <f>BB47*$C23*('Книга допущений'!$B$20^BB$57)*(1+Риски!$B$12)</f>
        <v>97.332232192000021</v>
      </c>
      <c r="BC72" s="153">
        <f>BC47*$C23*('Книга допущений'!$B$20^BC$57)*(1+Риски!$B$12)</f>
        <v>97.332232192000021</v>
      </c>
      <c r="BD72" s="153">
        <f>BD47*$C23*('Книга допущений'!$B$20^BD$57)*(1+Риски!$B$12)</f>
        <v>97.332232192000021</v>
      </c>
      <c r="BE72" s="153">
        <f>BE47*$C23*('Книга допущений'!$B$20^BE$57)*(1+Риски!$B$12)</f>
        <v>97.332232192000021</v>
      </c>
      <c r="BF72" s="153">
        <f>BF47*$C23*('Книга допущений'!$B$20^BF$57)*(1+Риски!$B$12)</f>
        <v>97.332232192000021</v>
      </c>
      <c r="BG72" s="153">
        <f>BG47*$C23*('Книга допущений'!$B$20^BG$57)*(1+Риски!$B$12)</f>
        <v>97.332232192000021</v>
      </c>
      <c r="BH72" s="153">
        <f>BH47*$C23*('Книга допущений'!$B$20^BH$57)*(1+Риски!$B$12)</f>
        <v>97.332232192000021</v>
      </c>
      <c r="BI72" s="153">
        <f>BI47*$C23*('Книга допущений'!$B$20^BI$57)*(1+Риски!$B$12)</f>
        <v>97.332232192000021</v>
      </c>
      <c r="BJ72" s="153">
        <f>BJ47*$C23*('Книга допущений'!$B$20^BJ$57)*(1+Риски!$B$12)</f>
        <v>97.332232192000021</v>
      </c>
      <c r="BK72" s="153">
        <f>BK47*$C23*('Книга допущений'!$B$20^BK$57)*(1+Риски!$B$12)</f>
        <v>97.332232192000021</v>
      </c>
      <c r="BL72" s="153">
        <f>BL47*$C23*('Книга допущений'!$B$20^BL$57)*(1+Риски!$B$12)</f>
        <v>97.332232192000021</v>
      </c>
      <c r="BM72" s="153">
        <f>BM47*$C23*('Книга допущений'!$B$20^BM$57)*(1+Риски!$B$12)</f>
        <v>101.22552147968003</v>
      </c>
      <c r="BN72" s="153">
        <f>BN47*$C23*('Книга допущений'!$B$20^BN$57)*(1+Риски!$B$12)</f>
        <v>101.22552147968003</v>
      </c>
      <c r="BO72" s="153">
        <f>BO47*$C23*('Книга допущений'!$B$20^BO$57)*(1+Риски!$B$12)</f>
        <v>101.22552147968003</v>
      </c>
      <c r="BP72" s="153">
        <f>BP47*$C23*('Книга допущений'!$B$20^BP$57)*(1+Риски!$B$12)</f>
        <v>101.22552147968003</v>
      </c>
      <c r="BQ72" s="153">
        <f>BQ47*$C23*('Книга допущений'!$B$20^BQ$57)*(1+Риски!$B$12)</f>
        <v>101.22552147968003</v>
      </c>
      <c r="BR72" s="153">
        <f>BR47*$C23*('Книга допущений'!$B$20^BR$57)*(1+Риски!$B$12)</f>
        <v>101.22552147968003</v>
      </c>
      <c r="BS72" s="153">
        <f>BS47*$C23*('Книга допущений'!$B$20^BS$57)*(1+Риски!$B$12)</f>
        <v>101.22552147968003</v>
      </c>
      <c r="BT72" s="153">
        <f>BT47*$C23*('Книга допущений'!$B$20^BT$57)*(1+Риски!$B$12)</f>
        <v>101.22552147968003</v>
      </c>
      <c r="BU72" s="153">
        <f>BU47*$C23*('Книга допущений'!$B$20^BU$57)*(1+Риски!$B$12)</f>
        <v>101.22552147968003</v>
      </c>
      <c r="BV72" s="153">
        <f>BV47*$C23*('Книга допущений'!$B$20^BV$57)*(1+Риски!$B$12)</f>
        <v>101.22552147968003</v>
      </c>
      <c r="BW72" s="153">
        <f>BW47*$C23*('Книга допущений'!$B$20^BW$57)*(1+Риски!$B$12)</f>
        <v>101.22552147968003</v>
      </c>
      <c r="BX72" s="153">
        <f>BX47*$C23*('Книга допущений'!$B$20^BX$57)*(1+Риски!$B$12)</f>
        <v>101.22552147968003</v>
      </c>
    </row>
    <row r="73" spans="1:76" s="30" customFormat="1" ht="12.75" customHeight="1" x14ac:dyDescent="0.25">
      <c r="A73" s="382" t="str">
        <f t="shared" si="67"/>
        <v>Хоз. служба</v>
      </c>
      <c r="B73" s="383">
        <f>SUM(B74:B76)</f>
        <v>0</v>
      </c>
      <c r="C73" s="383">
        <f t="shared" ref="C73:BN73" si="74">SUM(C74:C76)</f>
        <v>0</v>
      </c>
      <c r="D73" s="383">
        <f t="shared" si="74"/>
        <v>0</v>
      </c>
      <c r="E73" s="383">
        <f t="shared" si="74"/>
        <v>0</v>
      </c>
      <c r="F73" s="383">
        <f t="shared" si="74"/>
        <v>0</v>
      </c>
      <c r="G73" s="383">
        <f t="shared" si="74"/>
        <v>0</v>
      </c>
      <c r="H73" s="383">
        <f t="shared" si="74"/>
        <v>0</v>
      </c>
      <c r="I73" s="383">
        <f t="shared" si="74"/>
        <v>0</v>
      </c>
      <c r="J73" s="383">
        <f t="shared" si="74"/>
        <v>0</v>
      </c>
      <c r="K73" s="383">
        <f t="shared" si="74"/>
        <v>0</v>
      </c>
      <c r="L73" s="383">
        <f t="shared" si="74"/>
        <v>114.4</v>
      </c>
      <c r="M73" s="383">
        <f t="shared" si="74"/>
        <v>114.4</v>
      </c>
      <c r="N73" s="383">
        <f t="shared" si="74"/>
        <v>114.4</v>
      </c>
      <c r="O73" s="383">
        <f t="shared" si="74"/>
        <v>114.4</v>
      </c>
      <c r="P73" s="383">
        <f t="shared" si="74"/>
        <v>114.4</v>
      </c>
      <c r="Q73" s="383">
        <f t="shared" si="74"/>
        <v>118.976</v>
      </c>
      <c r="R73" s="383">
        <f t="shared" si="74"/>
        <v>118.976</v>
      </c>
      <c r="S73" s="383">
        <f t="shared" si="74"/>
        <v>118.976</v>
      </c>
      <c r="T73" s="383">
        <f t="shared" si="74"/>
        <v>118.976</v>
      </c>
      <c r="U73" s="383">
        <f t="shared" si="74"/>
        <v>118.976</v>
      </c>
      <c r="V73" s="383">
        <f t="shared" si="74"/>
        <v>118.976</v>
      </c>
      <c r="W73" s="383">
        <f t="shared" si="74"/>
        <v>118.976</v>
      </c>
      <c r="X73" s="383">
        <f t="shared" si="74"/>
        <v>118.976</v>
      </c>
      <c r="Y73" s="383">
        <f t="shared" si="74"/>
        <v>118.976</v>
      </c>
      <c r="Z73" s="383">
        <f t="shared" si="74"/>
        <v>118.976</v>
      </c>
      <c r="AA73" s="383">
        <f t="shared" si="74"/>
        <v>118.976</v>
      </c>
      <c r="AB73" s="383">
        <f t="shared" si="74"/>
        <v>118.976</v>
      </c>
      <c r="AC73" s="383">
        <f t="shared" si="74"/>
        <v>123.73504000000003</v>
      </c>
      <c r="AD73" s="383">
        <f t="shared" si="74"/>
        <v>123.73504000000003</v>
      </c>
      <c r="AE73" s="383">
        <f t="shared" si="74"/>
        <v>123.73504000000003</v>
      </c>
      <c r="AF73" s="383">
        <f t="shared" si="74"/>
        <v>123.73504000000003</v>
      </c>
      <c r="AG73" s="383">
        <f t="shared" si="74"/>
        <v>123.73504000000003</v>
      </c>
      <c r="AH73" s="383">
        <f t="shared" si="74"/>
        <v>123.73504000000003</v>
      </c>
      <c r="AI73" s="383">
        <f t="shared" si="74"/>
        <v>123.73504000000003</v>
      </c>
      <c r="AJ73" s="383">
        <f t="shared" si="74"/>
        <v>123.73504000000003</v>
      </c>
      <c r="AK73" s="383">
        <f t="shared" si="74"/>
        <v>123.73504000000003</v>
      </c>
      <c r="AL73" s="383">
        <f t="shared" si="74"/>
        <v>123.73504000000003</v>
      </c>
      <c r="AM73" s="383">
        <f t="shared" si="74"/>
        <v>123.73504000000003</v>
      </c>
      <c r="AN73" s="383">
        <f t="shared" si="74"/>
        <v>123.73504000000003</v>
      </c>
      <c r="AO73" s="383">
        <f t="shared" si="74"/>
        <v>128.68444160000001</v>
      </c>
      <c r="AP73" s="383">
        <f t="shared" si="74"/>
        <v>128.68444160000001</v>
      </c>
      <c r="AQ73" s="383">
        <f t="shared" si="74"/>
        <v>128.68444160000001</v>
      </c>
      <c r="AR73" s="383">
        <f t="shared" si="74"/>
        <v>128.68444160000001</v>
      </c>
      <c r="AS73" s="383">
        <f t="shared" si="74"/>
        <v>128.68444160000001</v>
      </c>
      <c r="AT73" s="383">
        <f t="shared" si="74"/>
        <v>128.68444160000001</v>
      </c>
      <c r="AU73" s="383">
        <f t="shared" si="74"/>
        <v>128.68444160000001</v>
      </c>
      <c r="AV73" s="383">
        <f t="shared" si="74"/>
        <v>128.68444160000001</v>
      </c>
      <c r="AW73" s="383">
        <f t="shared" si="74"/>
        <v>128.68444160000001</v>
      </c>
      <c r="AX73" s="383">
        <f t="shared" si="74"/>
        <v>128.68444160000001</v>
      </c>
      <c r="AY73" s="383">
        <f t="shared" si="74"/>
        <v>128.68444160000001</v>
      </c>
      <c r="AZ73" s="383">
        <f t="shared" si="74"/>
        <v>128.68444160000001</v>
      </c>
      <c r="BA73" s="383">
        <f t="shared" si="74"/>
        <v>133.83181926400005</v>
      </c>
      <c r="BB73" s="383">
        <f t="shared" si="74"/>
        <v>133.83181926400005</v>
      </c>
      <c r="BC73" s="383">
        <f t="shared" si="74"/>
        <v>133.83181926400005</v>
      </c>
      <c r="BD73" s="383">
        <f t="shared" si="74"/>
        <v>133.83181926400005</v>
      </c>
      <c r="BE73" s="383">
        <f t="shared" si="74"/>
        <v>133.83181926400005</v>
      </c>
      <c r="BF73" s="383">
        <f t="shared" si="74"/>
        <v>133.83181926400005</v>
      </c>
      <c r="BG73" s="383">
        <f t="shared" si="74"/>
        <v>133.83181926400005</v>
      </c>
      <c r="BH73" s="383">
        <f t="shared" si="74"/>
        <v>133.83181926400005</v>
      </c>
      <c r="BI73" s="383">
        <f t="shared" si="74"/>
        <v>133.83181926400005</v>
      </c>
      <c r="BJ73" s="383">
        <f t="shared" si="74"/>
        <v>133.83181926400005</v>
      </c>
      <c r="BK73" s="383">
        <f t="shared" si="74"/>
        <v>133.83181926400005</v>
      </c>
      <c r="BL73" s="383">
        <f t="shared" si="74"/>
        <v>133.83181926400005</v>
      </c>
      <c r="BM73" s="383">
        <f t="shared" si="74"/>
        <v>139.18509203456003</v>
      </c>
      <c r="BN73" s="383">
        <f t="shared" si="74"/>
        <v>139.18509203456003</v>
      </c>
      <c r="BO73" s="383">
        <f t="shared" ref="BO73:BX73" si="75">SUM(BO74:BO76)</f>
        <v>139.18509203456003</v>
      </c>
      <c r="BP73" s="383">
        <f t="shared" si="75"/>
        <v>139.18509203456003</v>
      </c>
      <c r="BQ73" s="383">
        <f t="shared" si="75"/>
        <v>139.18509203456003</v>
      </c>
      <c r="BR73" s="383">
        <f t="shared" si="75"/>
        <v>139.18509203456003</v>
      </c>
      <c r="BS73" s="383">
        <f t="shared" si="75"/>
        <v>139.18509203456003</v>
      </c>
      <c r="BT73" s="383">
        <f t="shared" si="75"/>
        <v>139.18509203456003</v>
      </c>
      <c r="BU73" s="383">
        <f t="shared" si="75"/>
        <v>139.18509203456003</v>
      </c>
      <c r="BV73" s="383">
        <f t="shared" si="75"/>
        <v>139.18509203456003</v>
      </c>
      <c r="BW73" s="383">
        <f t="shared" si="75"/>
        <v>139.18509203456003</v>
      </c>
      <c r="BX73" s="383">
        <f t="shared" si="75"/>
        <v>139.18509203456003</v>
      </c>
    </row>
    <row r="74" spans="1:76" s="30" customFormat="1" ht="12.75" customHeight="1" x14ac:dyDescent="0.25">
      <c r="A74" s="152" t="str">
        <f t="shared" si="67"/>
        <v>Администратор доп. услуг</v>
      </c>
      <c r="B74" s="153">
        <f>B49*$C25*('Книга допущений'!$B$20^B$57)*(1+Риски!$B$12)</f>
        <v>0</v>
      </c>
      <c r="C74" s="153">
        <f>C49*$C25*('Книга допущений'!$B$20^C$57)*(1+Риски!$B$12)</f>
        <v>0</v>
      </c>
      <c r="D74" s="153">
        <f>D49*$C25*('Книга допущений'!$B$20^D$57)*(1+Риски!$B$12)</f>
        <v>0</v>
      </c>
      <c r="E74" s="153">
        <f>E49*$C25*('Книга допущений'!$B$20^E$57)*(1+Риски!$B$12)</f>
        <v>0</v>
      </c>
      <c r="F74" s="153">
        <f>F49*$C25*('Книга допущений'!$B$20^F$57)*(1+Риски!$B$12)</f>
        <v>0</v>
      </c>
      <c r="G74" s="153">
        <f>G49*$C25*('Книга допущений'!$B$20^G$57)*(1+Риски!$B$12)</f>
        <v>0</v>
      </c>
      <c r="H74" s="153">
        <f>H49*$C25*('Книга допущений'!$B$20^H$57)*(1+Риски!$B$12)</f>
        <v>0</v>
      </c>
      <c r="I74" s="153">
        <f>I49*$C25*('Книга допущений'!$B$20^I$57)*(1+Риски!$B$12)</f>
        <v>0</v>
      </c>
      <c r="J74" s="153">
        <f>J49*$C25*('Книга допущений'!$B$20^J$57)*(1+Риски!$B$12)</f>
        <v>0</v>
      </c>
      <c r="K74" s="153">
        <f>K49*$C25*('Книга допущений'!$B$20^K$57)*(1+Риски!$B$12)</f>
        <v>0</v>
      </c>
      <c r="L74" s="153">
        <f>L49*$C25*('Книга допущений'!$B$20^L$57)*(1+Риски!$B$12)</f>
        <v>52</v>
      </c>
      <c r="M74" s="153">
        <f>M49*$C25*('Книга допущений'!$B$20^M$57)*(1+Риски!$B$12)</f>
        <v>52</v>
      </c>
      <c r="N74" s="153">
        <f>N49*$C25*('Книга допущений'!$B$20^N$57)*(1+Риски!$B$12)</f>
        <v>52</v>
      </c>
      <c r="O74" s="153">
        <f>O49*$C25*('Книга допущений'!$B$20^O$57)*(1+Риски!$B$12)</f>
        <v>52</v>
      </c>
      <c r="P74" s="153">
        <f>P49*$C25*('Книга допущений'!$B$20^P$57)*(1+Риски!$B$12)</f>
        <v>52</v>
      </c>
      <c r="Q74" s="153">
        <f>Q49*$C25*('Книга допущений'!$B$20^Q$57)*(1+Риски!$B$12)</f>
        <v>54.080000000000005</v>
      </c>
      <c r="R74" s="153">
        <f>R49*$C25*('Книга допущений'!$B$20^R$57)*(1+Риски!$B$12)</f>
        <v>54.080000000000005</v>
      </c>
      <c r="S74" s="153">
        <f>S49*$C25*('Книга допущений'!$B$20^S$57)*(1+Риски!$B$12)</f>
        <v>54.080000000000005</v>
      </c>
      <c r="T74" s="153">
        <f>T49*$C25*('Книга допущений'!$B$20^T$57)*(1+Риски!$B$12)</f>
        <v>54.080000000000005</v>
      </c>
      <c r="U74" s="153">
        <f>U49*$C25*('Книга допущений'!$B$20^U$57)*(1+Риски!$B$12)</f>
        <v>54.080000000000005</v>
      </c>
      <c r="V74" s="153">
        <f>V49*$C25*('Книга допущений'!$B$20^V$57)*(1+Риски!$B$12)</f>
        <v>54.080000000000005</v>
      </c>
      <c r="W74" s="153">
        <f>W49*$C25*('Книга допущений'!$B$20^W$57)*(1+Риски!$B$12)</f>
        <v>54.080000000000005</v>
      </c>
      <c r="X74" s="153">
        <f>X49*$C25*('Книга допущений'!$B$20^X$57)*(1+Риски!$B$12)</f>
        <v>54.080000000000005</v>
      </c>
      <c r="Y74" s="153">
        <f>Y49*$C25*('Книга допущений'!$B$20^Y$57)*(1+Риски!$B$12)</f>
        <v>54.080000000000005</v>
      </c>
      <c r="Z74" s="153">
        <f>Z49*$C25*('Книга допущений'!$B$20^Z$57)*(1+Риски!$B$12)</f>
        <v>54.080000000000005</v>
      </c>
      <c r="AA74" s="153">
        <f>AA49*$C25*('Книга допущений'!$B$20^AA$57)*(1+Риски!$B$12)</f>
        <v>54.080000000000005</v>
      </c>
      <c r="AB74" s="153">
        <f>AB49*$C25*('Книга допущений'!$B$20^AB$57)*(1+Риски!$B$12)</f>
        <v>54.080000000000005</v>
      </c>
      <c r="AC74" s="153">
        <f>AC49*$C25*('Книга допущений'!$B$20^AC$57)*(1+Риски!$B$12)</f>
        <v>56.243200000000002</v>
      </c>
      <c r="AD74" s="153">
        <f>AD49*$C25*('Книга допущений'!$B$20^AD$57)*(1+Риски!$B$12)</f>
        <v>56.243200000000002</v>
      </c>
      <c r="AE74" s="153">
        <f>AE49*$C25*('Книга допущений'!$B$20^AE$57)*(1+Риски!$B$12)</f>
        <v>56.243200000000002</v>
      </c>
      <c r="AF74" s="153">
        <f>AF49*$C25*('Книга допущений'!$B$20^AF$57)*(1+Риски!$B$12)</f>
        <v>56.243200000000002</v>
      </c>
      <c r="AG74" s="153">
        <f>AG49*$C25*('Книга допущений'!$B$20^AG$57)*(1+Риски!$B$12)</f>
        <v>56.243200000000002</v>
      </c>
      <c r="AH74" s="153">
        <f>AH49*$C25*('Книга допущений'!$B$20^AH$57)*(1+Риски!$B$12)</f>
        <v>56.243200000000002</v>
      </c>
      <c r="AI74" s="153">
        <f>AI49*$C25*('Книга допущений'!$B$20^AI$57)*(1+Риски!$B$12)</f>
        <v>56.243200000000002</v>
      </c>
      <c r="AJ74" s="153">
        <f>AJ49*$C25*('Книга допущений'!$B$20^AJ$57)*(1+Риски!$B$12)</f>
        <v>56.243200000000002</v>
      </c>
      <c r="AK74" s="153">
        <f>AK49*$C25*('Книга допущений'!$B$20^AK$57)*(1+Риски!$B$12)</f>
        <v>56.243200000000002</v>
      </c>
      <c r="AL74" s="153">
        <f>AL49*$C25*('Книга допущений'!$B$20^AL$57)*(1+Риски!$B$12)</f>
        <v>56.243200000000002</v>
      </c>
      <c r="AM74" s="153">
        <f>AM49*$C25*('Книга допущений'!$B$20^AM$57)*(1+Риски!$B$12)</f>
        <v>56.243200000000002</v>
      </c>
      <c r="AN74" s="153">
        <f>AN49*$C25*('Книга допущений'!$B$20^AN$57)*(1+Риски!$B$12)</f>
        <v>56.243200000000002</v>
      </c>
      <c r="AO74" s="153">
        <f>AO49*$C25*('Книга допущений'!$B$20^AO$57)*(1+Риски!$B$12)</f>
        <v>58.492928000000013</v>
      </c>
      <c r="AP74" s="153">
        <f>AP49*$C25*('Книга допущений'!$B$20^AP$57)*(1+Риски!$B$12)</f>
        <v>58.492928000000013</v>
      </c>
      <c r="AQ74" s="153">
        <f>AQ49*$C25*('Книга допущений'!$B$20^AQ$57)*(1+Риски!$B$12)</f>
        <v>58.492928000000013</v>
      </c>
      <c r="AR74" s="153">
        <f>AR49*$C25*('Книга допущений'!$B$20^AR$57)*(1+Риски!$B$12)</f>
        <v>58.492928000000013</v>
      </c>
      <c r="AS74" s="153">
        <f>AS49*$C25*('Книга допущений'!$B$20^AS$57)*(1+Риски!$B$12)</f>
        <v>58.492928000000013</v>
      </c>
      <c r="AT74" s="153">
        <f>AT49*$C25*('Книга допущений'!$B$20^AT$57)*(1+Риски!$B$12)</f>
        <v>58.492928000000013</v>
      </c>
      <c r="AU74" s="153">
        <f>AU49*$C25*('Книга допущений'!$B$20^AU$57)*(1+Риски!$B$12)</f>
        <v>58.492928000000013</v>
      </c>
      <c r="AV74" s="153">
        <f>AV49*$C25*('Книга допущений'!$B$20^AV$57)*(1+Риски!$B$12)</f>
        <v>58.492928000000013</v>
      </c>
      <c r="AW74" s="153">
        <f>AW49*$C25*('Книга допущений'!$B$20^AW$57)*(1+Риски!$B$12)</f>
        <v>58.492928000000013</v>
      </c>
      <c r="AX74" s="153">
        <f>AX49*$C25*('Книга допущений'!$B$20^AX$57)*(1+Риски!$B$12)</f>
        <v>58.492928000000013</v>
      </c>
      <c r="AY74" s="153">
        <f>AY49*$C25*('Книга допущений'!$B$20^AY$57)*(1+Риски!$B$12)</f>
        <v>58.492928000000013</v>
      </c>
      <c r="AZ74" s="153">
        <f>AZ49*$C25*('Книга допущений'!$B$20^AZ$57)*(1+Риски!$B$12)</f>
        <v>58.492928000000013</v>
      </c>
      <c r="BA74" s="153">
        <f>BA49*$C25*('Книга допущений'!$B$20^BA$57)*(1+Риски!$B$12)</f>
        <v>60.832645120000016</v>
      </c>
      <c r="BB74" s="153">
        <f>BB49*$C25*('Книга допущений'!$B$20^BB$57)*(1+Риски!$B$12)</f>
        <v>60.832645120000016</v>
      </c>
      <c r="BC74" s="153">
        <f>BC49*$C25*('Книга допущений'!$B$20^BC$57)*(1+Риски!$B$12)</f>
        <v>60.832645120000016</v>
      </c>
      <c r="BD74" s="153">
        <f>BD49*$C25*('Книга допущений'!$B$20^BD$57)*(1+Риски!$B$12)</f>
        <v>60.832645120000016</v>
      </c>
      <c r="BE74" s="153">
        <f>BE49*$C25*('Книга допущений'!$B$20^BE$57)*(1+Риски!$B$12)</f>
        <v>60.832645120000016</v>
      </c>
      <c r="BF74" s="153">
        <f>BF49*$C25*('Книга допущений'!$B$20^BF$57)*(1+Риски!$B$12)</f>
        <v>60.832645120000016</v>
      </c>
      <c r="BG74" s="153">
        <f>BG49*$C25*('Книга допущений'!$B$20^BG$57)*(1+Риски!$B$12)</f>
        <v>60.832645120000016</v>
      </c>
      <c r="BH74" s="153">
        <f>BH49*$C25*('Книга допущений'!$B$20^BH$57)*(1+Риски!$B$12)</f>
        <v>60.832645120000016</v>
      </c>
      <c r="BI74" s="153">
        <f>BI49*$C25*('Книга допущений'!$B$20^BI$57)*(1+Риски!$B$12)</f>
        <v>60.832645120000016</v>
      </c>
      <c r="BJ74" s="153">
        <f>BJ49*$C25*('Книга допущений'!$B$20^BJ$57)*(1+Риски!$B$12)</f>
        <v>60.832645120000016</v>
      </c>
      <c r="BK74" s="153">
        <f>BK49*$C25*('Книга допущений'!$B$20^BK$57)*(1+Риски!$B$12)</f>
        <v>60.832645120000016</v>
      </c>
      <c r="BL74" s="153">
        <f>BL49*$C25*('Книга допущений'!$B$20^BL$57)*(1+Риски!$B$12)</f>
        <v>60.832645120000016</v>
      </c>
      <c r="BM74" s="153">
        <f>BM49*$C25*('Книга допущений'!$B$20^BM$57)*(1+Риски!$B$12)</f>
        <v>63.265950924800016</v>
      </c>
      <c r="BN74" s="153">
        <f>BN49*$C25*('Книга допущений'!$B$20^BN$57)*(1+Риски!$B$12)</f>
        <v>63.265950924800016</v>
      </c>
      <c r="BO74" s="153">
        <f>BO49*$C25*('Книга допущений'!$B$20^BO$57)*(1+Риски!$B$12)</f>
        <v>63.265950924800016</v>
      </c>
      <c r="BP74" s="153">
        <f>BP49*$C25*('Книга допущений'!$B$20^BP$57)*(1+Риски!$B$12)</f>
        <v>63.265950924800016</v>
      </c>
      <c r="BQ74" s="153">
        <f>BQ49*$C25*('Книга допущений'!$B$20^BQ$57)*(1+Риски!$B$12)</f>
        <v>63.265950924800016</v>
      </c>
      <c r="BR74" s="153">
        <f>BR49*$C25*('Книга допущений'!$B$20^BR$57)*(1+Риски!$B$12)</f>
        <v>63.265950924800016</v>
      </c>
      <c r="BS74" s="153">
        <f>BS49*$C25*('Книга допущений'!$B$20^BS$57)*(1+Риски!$B$12)</f>
        <v>63.265950924800016</v>
      </c>
      <c r="BT74" s="153">
        <f>BT49*$C25*('Книга допущений'!$B$20^BT$57)*(1+Риски!$B$12)</f>
        <v>63.265950924800016</v>
      </c>
      <c r="BU74" s="153">
        <f>BU49*$C25*('Книга допущений'!$B$20^BU$57)*(1+Риски!$B$12)</f>
        <v>63.265950924800016</v>
      </c>
      <c r="BV74" s="153">
        <f>BV49*$C25*('Книга допущений'!$B$20^BV$57)*(1+Риски!$B$12)</f>
        <v>63.265950924800016</v>
      </c>
      <c r="BW74" s="153">
        <f>BW49*$C25*('Книга допущений'!$B$20^BW$57)*(1+Риски!$B$12)</f>
        <v>63.265950924800016</v>
      </c>
      <c r="BX74" s="153">
        <f>BX49*$C25*('Книга допущений'!$B$20^BX$57)*(1+Риски!$B$12)</f>
        <v>63.265950924800016</v>
      </c>
    </row>
    <row r="75" spans="1:76" s="30" customFormat="1" ht="12.75" customHeight="1" x14ac:dyDescent="0.25">
      <c r="A75" s="152" t="str">
        <f t="shared" si="67"/>
        <v>Подсобный рабочий</v>
      </c>
      <c r="B75" s="153">
        <f>B50*$C26*('Книга допущений'!$B$20^B$57)*(1+Риски!$B$12)</f>
        <v>0</v>
      </c>
      <c r="C75" s="153">
        <f>C50*$C26*('Книга допущений'!$B$20^C$57)*(1+Риски!$B$12)</f>
        <v>0</v>
      </c>
      <c r="D75" s="153">
        <f>D50*$C26*('Книга допущений'!$B$20^D$57)*(1+Риски!$B$12)</f>
        <v>0</v>
      </c>
      <c r="E75" s="153">
        <f>E50*$C26*('Книга допущений'!$B$20^E$57)*(1+Риски!$B$12)</f>
        <v>0</v>
      </c>
      <c r="F75" s="153">
        <f>F50*$C26*('Книга допущений'!$B$20^F$57)*(1+Риски!$B$12)</f>
        <v>0</v>
      </c>
      <c r="G75" s="153">
        <f>G50*$C26*('Книга допущений'!$B$20^G$57)*(1+Риски!$B$12)</f>
        <v>0</v>
      </c>
      <c r="H75" s="153">
        <f>H50*$C26*('Книга допущений'!$B$20^H$57)*(1+Риски!$B$12)</f>
        <v>0</v>
      </c>
      <c r="I75" s="153">
        <f>I50*$C26*('Книга допущений'!$B$20^I$57)*(1+Риски!$B$12)</f>
        <v>0</v>
      </c>
      <c r="J75" s="153">
        <f>J50*$C26*('Книга допущений'!$B$20^J$57)*(1+Риски!$B$12)</f>
        <v>0</v>
      </c>
      <c r="K75" s="153">
        <f>K50*$C26*('Книга допущений'!$B$20^K$57)*(1+Риски!$B$12)</f>
        <v>0</v>
      </c>
      <c r="L75" s="153">
        <f>L50*$C26*('Книга допущений'!$B$20^L$57)*(1+Риски!$B$12)</f>
        <v>31.200000000000003</v>
      </c>
      <c r="M75" s="153">
        <f>M50*$C26*('Книга допущений'!$B$20^M$57)*(1+Риски!$B$12)</f>
        <v>31.200000000000003</v>
      </c>
      <c r="N75" s="153">
        <f>N50*$C26*('Книга допущений'!$B$20^N$57)*(1+Риски!$B$12)</f>
        <v>31.200000000000003</v>
      </c>
      <c r="O75" s="153">
        <f>O50*$C26*('Книга допущений'!$B$20^O$57)*(1+Риски!$B$12)</f>
        <v>31.200000000000003</v>
      </c>
      <c r="P75" s="153">
        <f>P50*$C26*('Книга допущений'!$B$20^P$57)*(1+Риски!$B$12)</f>
        <v>31.200000000000003</v>
      </c>
      <c r="Q75" s="153">
        <f>Q50*$C26*('Книга допущений'!$B$20^Q$57)*(1+Риски!$B$12)</f>
        <v>32.448</v>
      </c>
      <c r="R75" s="153">
        <f>R50*$C26*('Книга допущений'!$B$20^R$57)*(1+Риски!$B$12)</f>
        <v>32.448</v>
      </c>
      <c r="S75" s="153">
        <f>S50*$C26*('Книга допущений'!$B$20^S$57)*(1+Риски!$B$12)</f>
        <v>32.448</v>
      </c>
      <c r="T75" s="153">
        <f>T50*$C26*('Книга допущений'!$B$20^T$57)*(1+Риски!$B$12)</f>
        <v>32.448</v>
      </c>
      <c r="U75" s="153">
        <f>U50*$C26*('Книга допущений'!$B$20^U$57)*(1+Риски!$B$12)</f>
        <v>32.448</v>
      </c>
      <c r="V75" s="153">
        <f>V50*$C26*('Книга допущений'!$B$20^V$57)*(1+Риски!$B$12)</f>
        <v>32.448</v>
      </c>
      <c r="W75" s="153">
        <f>W50*$C26*('Книга допущений'!$B$20^W$57)*(1+Риски!$B$12)</f>
        <v>32.448</v>
      </c>
      <c r="X75" s="153">
        <f>X50*$C26*('Книга допущений'!$B$20^X$57)*(1+Риски!$B$12)</f>
        <v>32.448</v>
      </c>
      <c r="Y75" s="153">
        <f>Y50*$C26*('Книга допущений'!$B$20^Y$57)*(1+Риски!$B$12)</f>
        <v>32.448</v>
      </c>
      <c r="Z75" s="153">
        <f>Z50*$C26*('Книга допущений'!$B$20^Z$57)*(1+Риски!$B$12)</f>
        <v>32.448</v>
      </c>
      <c r="AA75" s="153">
        <f>AA50*$C26*('Книга допущений'!$B$20^AA$57)*(1+Риски!$B$12)</f>
        <v>32.448</v>
      </c>
      <c r="AB75" s="153">
        <f>AB50*$C26*('Книга допущений'!$B$20^AB$57)*(1+Риски!$B$12)</f>
        <v>32.448</v>
      </c>
      <c r="AC75" s="153">
        <f>AC50*$C26*('Книга допущений'!$B$20^AC$57)*(1+Риски!$B$12)</f>
        <v>33.745920000000005</v>
      </c>
      <c r="AD75" s="153">
        <f>AD50*$C26*('Книга допущений'!$B$20^AD$57)*(1+Риски!$B$12)</f>
        <v>33.745920000000005</v>
      </c>
      <c r="AE75" s="153">
        <f>AE50*$C26*('Книга допущений'!$B$20^AE$57)*(1+Риски!$B$12)</f>
        <v>33.745920000000005</v>
      </c>
      <c r="AF75" s="153">
        <f>AF50*$C26*('Книга допущений'!$B$20^AF$57)*(1+Риски!$B$12)</f>
        <v>33.745920000000005</v>
      </c>
      <c r="AG75" s="153">
        <f>AG50*$C26*('Книга допущений'!$B$20^AG$57)*(1+Риски!$B$12)</f>
        <v>33.745920000000005</v>
      </c>
      <c r="AH75" s="153">
        <f>AH50*$C26*('Книга допущений'!$B$20^AH$57)*(1+Риски!$B$12)</f>
        <v>33.745920000000005</v>
      </c>
      <c r="AI75" s="153">
        <f>AI50*$C26*('Книга допущений'!$B$20^AI$57)*(1+Риски!$B$12)</f>
        <v>33.745920000000005</v>
      </c>
      <c r="AJ75" s="153">
        <f>AJ50*$C26*('Книга допущений'!$B$20^AJ$57)*(1+Риски!$B$12)</f>
        <v>33.745920000000005</v>
      </c>
      <c r="AK75" s="153">
        <f>AK50*$C26*('Книга допущений'!$B$20^AK$57)*(1+Риски!$B$12)</f>
        <v>33.745920000000005</v>
      </c>
      <c r="AL75" s="153">
        <f>AL50*$C26*('Книга допущений'!$B$20^AL$57)*(1+Риски!$B$12)</f>
        <v>33.745920000000005</v>
      </c>
      <c r="AM75" s="153">
        <f>AM50*$C26*('Книга допущений'!$B$20^AM$57)*(1+Риски!$B$12)</f>
        <v>33.745920000000005</v>
      </c>
      <c r="AN75" s="153">
        <f>AN50*$C26*('Книга допущений'!$B$20^AN$57)*(1+Риски!$B$12)</f>
        <v>33.745920000000005</v>
      </c>
      <c r="AO75" s="153">
        <f>AO50*$C26*('Книга допущений'!$B$20^AO$57)*(1+Риски!$B$12)</f>
        <v>35.095756800000004</v>
      </c>
      <c r="AP75" s="153">
        <f>AP50*$C26*('Книга допущений'!$B$20^AP$57)*(1+Риски!$B$12)</f>
        <v>35.095756800000004</v>
      </c>
      <c r="AQ75" s="153">
        <f>AQ50*$C26*('Книга допущений'!$B$20^AQ$57)*(1+Риски!$B$12)</f>
        <v>35.095756800000004</v>
      </c>
      <c r="AR75" s="153">
        <f>AR50*$C26*('Книга допущений'!$B$20^AR$57)*(1+Риски!$B$12)</f>
        <v>35.095756800000004</v>
      </c>
      <c r="AS75" s="153">
        <f>AS50*$C26*('Книга допущений'!$B$20^AS$57)*(1+Риски!$B$12)</f>
        <v>35.095756800000004</v>
      </c>
      <c r="AT75" s="153">
        <f>AT50*$C26*('Книга допущений'!$B$20^AT$57)*(1+Риски!$B$12)</f>
        <v>35.095756800000004</v>
      </c>
      <c r="AU75" s="153">
        <f>AU50*$C26*('Книга допущений'!$B$20^AU$57)*(1+Риски!$B$12)</f>
        <v>35.095756800000004</v>
      </c>
      <c r="AV75" s="153">
        <f>AV50*$C26*('Книга допущений'!$B$20^AV$57)*(1+Риски!$B$12)</f>
        <v>35.095756800000004</v>
      </c>
      <c r="AW75" s="153">
        <f>AW50*$C26*('Книга допущений'!$B$20^AW$57)*(1+Риски!$B$12)</f>
        <v>35.095756800000004</v>
      </c>
      <c r="AX75" s="153">
        <f>AX50*$C26*('Книга допущений'!$B$20^AX$57)*(1+Риски!$B$12)</f>
        <v>35.095756800000004</v>
      </c>
      <c r="AY75" s="153">
        <f>AY50*$C26*('Книга допущений'!$B$20^AY$57)*(1+Риски!$B$12)</f>
        <v>35.095756800000004</v>
      </c>
      <c r="AZ75" s="153">
        <f>AZ50*$C26*('Книга допущений'!$B$20^AZ$57)*(1+Риски!$B$12)</f>
        <v>35.095756800000004</v>
      </c>
      <c r="BA75" s="153">
        <f>BA50*$C26*('Книга допущений'!$B$20^BA$57)*(1+Риски!$B$12)</f>
        <v>36.499587072000011</v>
      </c>
      <c r="BB75" s="153">
        <f>BB50*$C26*('Книга допущений'!$B$20^BB$57)*(1+Риски!$B$12)</f>
        <v>36.499587072000011</v>
      </c>
      <c r="BC75" s="153">
        <f>BC50*$C26*('Книга допущений'!$B$20^BC$57)*(1+Риски!$B$12)</f>
        <v>36.499587072000011</v>
      </c>
      <c r="BD75" s="153">
        <f>BD50*$C26*('Книга допущений'!$B$20^BD$57)*(1+Риски!$B$12)</f>
        <v>36.499587072000011</v>
      </c>
      <c r="BE75" s="153">
        <f>BE50*$C26*('Книга допущений'!$B$20^BE$57)*(1+Риски!$B$12)</f>
        <v>36.499587072000011</v>
      </c>
      <c r="BF75" s="153">
        <f>BF50*$C26*('Книга допущений'!$B$20^BF$57)*(1+Риски!$B$12)</f>
        <v>36.499587072000011</v>
      </c>
      <c r="BG75" s="153">
        <f>BG50*$C26*('Книга допущений'!$B$20^BG$57)*(1+Риски!$B$12)</f>
        <v>36.499587072000011</v>
      </c>
      <c r="BH75" s="153">
        <f>BH50*$C26*('Книга допущений'!$B$20^BH$57)*(1+Риски!$B$12)</f>
        <v>36.499587072000011</v>
      </c>
      <c r="BI75" s="153">
        <f>BI50*$C26*('Книга допущений'!$B$20^BI$57)*(1+Риски!$B$12)</f>
        <v>36.499587072000011</v>
      </c>
      <c r="BJ75" s="153">
        <f>BJ50*$C26*('Книга допущений'!$B$20^BJ$57)*(1+Риски!$B$12)</f>
        <v>36.499587072000011</v>
      </c>
      <c r="BK75" s="153">
        <f>BK50*$C26*('Книга допущений'!$B$20^BK$57)*(1+Риски!$B$12)</f>
        <v>36.499587072000011</v>
      </c>
      <c r="BL75" s="153">
        <f>BL50*$C26*('Книга допущений'!$B$20^BL$57)*(1+Риски!$B$12)</f>
        <v>36.499587072000011</v>
      </c>
      <c r="BM75" s="153">
        <f>BM50*$C26*('Книга допущений'!$B$20^BM$57)*(1+Риски!$B$12)</f>
        <v>37.95957055488001</v>
      </c>
      <c r="BN75" s="153">
        <f>BN50*$C26*('Книга допущений'!$B$20^BN$57)*(1+Риски!$B$12)</f>
        <v>37.95957055488001</v>
      </c>
      <c r="BO75" s="153">
        <f>BO50*$C26*('Книга допущений'!$B$20^BO$57)*(1+Риски!$B$12)</f>
        <v>37.95957055488001</v>
      </c>
      <c r="BP75" s="153">
        <f>BP50*$C26*('Книга допущений'!$B$20^BP$57)*(1+Риски!$B$12)</f>
        <v>37.95957055488001</v>
      </c>
      <c r="BQ75" s="153">
        <f>BQ50*$C26*('Книга допущений'!$B$20^BQ$57)*(1+Риски!$B$12)</f>
        <v>37.95957055488001</v>
      </c>
      <c r="BR75" s="153">
        <f>BR50*$C26*('Книга допущений'!$B$20^BR$57)*(1+Риски!$B$12)</f>
        <v>37.95957055488001</v>
      </c>
      <c r="BS75" s="153">
        <f>BS50*$C26*('Книга допущений'!$B$20^BS$57)*(1+Риски!$B$12)</f>
        <v>37.95957055488001</v>
      </c>
      <c r="BT75" s="153">
        <f>BT50*$C26*('Книга допущений'!$B$20^BT$57)*(1+Риски!$B$12)</f>
        <v>37.95957055488001</v>
      </c>
      <c r="BU75" s="153">
        <f>BU50*$C26*('Книга допущений'!$B$20^BU$57)*(1+Риски!$B$12)</f>
        <v>37.95957055488001</v>
      </c>
      <c r="BV75" s="153">
        <f>BV50*$C26*('Книга допущений'!$B$20^BV$57)*(1+Риски!$B$12)</f>
        <v>37.95957055488001</v>
      </c>
      <c r="BW75" s="153">
        <f>BW50*$C26*('Книга допущений'!$B$20^BW$57)*(1+Риски!$B$12)</f>
        <v>37.95957055488001</v>
      </c>
      <c r="BX75" s="153">
        <f>BX50*$C26*('Книга допущений'!$B$20^BX$57)*(1+Риски!$B$12)</f>
        <v>37.95957055488001</v>
      </c>
    </row>
    <row r="76" spans="1:76" s="30" customFormat="1" ht="12.75" customHeight="1" x14ac:dyDescent="0.25">
      <c r="A76" s="152" t="str">
        <f t="shared" si="67"/>
        <v>Уборщик территории</v>
      </c>
      <c r="B76" s="153">
        <f>B51*$C27*('Книга допущений'!$B$20^B$57)*(1+Риски!$B$12)</f>
        <v>0</v>
      </c>
      <c r="C76" s="153">
        <f>C51*$C27*('Книга допущений'!$B$20^C$57)*(1+Риски!$B$12)</f>
        <v>0</v>
      </c>
      <c r="D76" s="153">
        <f>D51*$C27*('Книга допущений'!$B$20^D$57)*(1+Риски!$B$12)</f>
        <v>0</v>
      </c>
      <c r="E76" s="153">
        <f>E51*$C27*('Книга допущений'!$B$20^E$57)*(1+Риски!$B$12)</f>
        <v>0</v>
      </c>
      <c r="F76" s="153">
        <f>F51*$C27*('Книга допущений'!$B$20^F$57)*(1+Риски!$B$12)</f>
        <v>0</v>
      </c>
      <c r="G76" s="153">
        <f>G51*$C27*('Книга допущений'!$B$20^G$57)*(1+Риски!$B$12)</f>
        <v>0</v>
      </c>
      <c r="H76" s="153">
        <f>H51*$C27*('Книга допущений'!$B$20^H$57)*(1+Риски!$B$12)</f>
        <v>0</v>
      </c>
      <c r="I76" s="153">
        <f>I51*$C27*('Книга допущений'!$B$20^I$57)*(1+Риски!$B$12)</f>
        <v>0</v>
      </c>
      <c r="J76" s="153">
        <f>J51*$C27*('Книга допущений'!$B$20^J$57)*(1+Риски!$B$12)</f>
        <v>0</v>
      </c>
      <c r="K76" s="153">
        <f>K51*$C27*('Книга допущений'!$B$20^K$57)*(1+Риски!$B$12)</f>
        <v>0</v>
      </c>
      <c r="L76" s="153">
        <f>L51*$C27*('Книга допущений'!$B$20^L$57)*(1+Риски!$B$12)</f>
        <v>31.200000000000003</v>
      </c>
      <c r="M76" s="153">
        <f>M51*$C27*('Книга допущений'!$B$20^M$57)*(1+Риски!$B$12)</f>
        <v>31.200000000000003</v>
      </c>
      <c r="N76" s="153">
        <f>N51*$C27*('Книга допущений'!$B$20^N$57)*(1+Риски!$B$12)</f>
        <v>31.200000000000003</v>
      </c>
      <c r="O76" s="153">
        <f>O51*$C27*('Книга допущений'!$B$20^O$57)*(1+Риски!$B$12)</f>
        <v>31.200000000000003</v>
      </c>
      <c r="P76" s="153">
        <f>P51*$C27*('Книга допущений'!$B$20^P$57)*(1+Риски!$B$12)</f>
        <v>31.200000000000003</v>
      </c>
      <c r="Q76" s="153">
        <f>Q51*$C27*('Книга допущений'!$B$20^Q$57)*(1+Риски!$B$12)</f>
        <v>32.448</v>
      </c>
      <c r="R76" s="153">
        <f>R51*$C27*('Книга допущений'!$B$20^R$57)*(1+Риски!$B$12)</f>
        <v>32.448</v>
      </c>
      <c r="S76" s="153">
        <f>S51*$C27*('Книга допущений'!$B$20^S$57)*(1+Риски!$B$12)</f>
        <v>32.448</v>
      </c>
      <c r="T76" s="153">
        <f>T51*$C27*('Книга допущений'!$B$20^T$57)*(1+Риски!$B$12)</f>
        <v>32.448</v>
      </c>
      <c r="U76" s="153">
        <f>U51*$C27*('Книга допущений'!$B$20^U$57)*(1+Риски!$B$12)</f>
        <v>32.448</v>
      </c>
      <c r="V76" s="153">
        <f>V51*$C27*('Книга допущений'!$B$20^V$57)*(1+Риски!$B$12)</f>
        <v>32.448</v>
      </c>
      <c r="W76" s="153">
        <f>W51*$C27*('Книга допущений'!$B$20^W$57)*(1+Риски!$B$12)</f>
        <v>32.448</v>
      </c>
      <c r="X76" s="153">
        <f>X51*$C27*('Книга допущений'!$B$20^X$57)*(1+Риски!$B$12)</f>
        <v>32.448</v>
      </c>
      <c r="Y76" s="153">
        <f>Y51*$C27*('Книга допущений'!$B$20^Y$57)*(1+Риски!$B$12)</f>
        <v>32.448</v>
      </c>
      <c r="Z76" s="153">
        <f>Z51*$C27*('Книга допущений'!$B$20^Z$57)*(1+Риски!$B$12)</f>
        <v>32.448</v>
      </c>
      <c r="AA76" s="153">
        <f>AA51*$C27*('Книга допущений'!$B$20^AA$57)*(1+Риски!$B$12)</f>
        <v>32.448</v>
      </c>
      <c r="AB76" s="153">
        <f>AB51*$C27*('Книга допущений'!$B$20^AB$57)*(1+Риски!$B$12)</f>
        <v>32.448</v>
      </c>
      <c r="AC76" s="153">
        <f>AC51*$C27*('Книга допущений'!$B$20^AC$57)*(1+Риски!$B$12)</f>
        <v>33.745920000000005</v>
      </c>
      <c r="AD76" s="153">
        <f>AD51*$C27*('Книга допущений'!$B$20^AD$57)*(1+Риски!$B$12)</f>
        <v>33.745920000000005</v>
      </c>
      <c r="AE76" s="153">
        <f>AE51*$C27*('Книга допущений'!$B$20^AE$57)*(1+Риски!$B$12)</f>
        <v>33.745920000000005</v>
      </c>
      <c r="AF76" s="153">
        <f>AF51*$C27*('Книга допущений'!$B$20^AF$57)*(1+Риски!$B$12)</f>
        <v>33.745920000000005</v>
      </c>
      <c r="AG76" s="153">
        <f>AG51*$C27*('Книга допущений'!$B$20^AG$57)*(1+Риски!$B$12)</f>
        <v>33.745920000000005</v>
      </c>
      <c r="AH76" s="153">
        <f>AH51*$C27*('Книга допущений'!$B$20^AH$57)*(1+Риски!$B$12)</f>
        <v>33.745920000000005</v>
      </c>
      <c r="AI76" s="153">
        <f>AI51*$C27*('Книга допущений'!$B$20^AI$57)*(1+Риски!$B$12)</f>
        <v>33.745920000000005</v>
      </c>
      <c r="AJ76" s="153">
        <f>AJ51*$C27*('Книга допущений'!$B$20^AJ$57)*(1+Риски!$B$12)</f>
        <v>33.745920000000005</v>
      </c>
      <c r="AK76" s="153">
        <f>AK51*$C27*('Книга допущений'!$B$20^AK$57)*(1+Риски!$B$12)</f>
        <v>33.745920000000005</v>
      </c>
      <c r="AL76" s="153">
        <f>AL51*$C27*('Книга допущений'!$B$20^AL$57)*(1+Риски!$B$12)</f>
        <v>33.745920000000005</v>
      </c>
      <c r="AM76" s="153">
        <f>AM51*$C27*('Книга допущений'!$B$20^AM$57)*(1+Риски!$B$12)</f>
        <v>33.745920000000005</v>
      </c>
      <c r="AN76" s="153">
        <f>AN51*$C27*('Книга допущений'!$B$20^AN$57)*(1+Риски!$B$12)</f>
        <v>33.745920000000005</v>
      </c>
      <c r="AO76" s="153">
        <f>AO51*$C27*('Книга допущений'!$B$20^AO$57)*(1+Риски!$B$12)</f>
        <v>35.095756800000004</v>
      </c>
      <c r="AP76" s="153">
        <f>AP51*$C27*('Книга допущений'!$B$20^AP$57)*(1+Риски!$B$12)</f>
        <v>35.095756800000004</v>
      </c>
      <c r="AQ76" s="153">
        <f>AQ51*$C27*('Книга допущений'!$B$20^AQ$57)*(1+Риски!$B$12)</f>
        <v>35.095756800000004</v>
      </c>
      <c r="AR76" s="153">
        <f>AR51*$C27*('Книга допущений'!$B$20^AR$57)*(1+Риски!$B$12)</f>
        <v>35.095756800000004</v>
      </c>
      <c r="AS76" s="153">
        <f>AS51*$C27*('Книга допущений'!$B$20^AS$57)*(1+Риски!$B$12)</f>
        <v>35.095756800000004</v>
      </c>
      <c r="AT76" s="153">
        <f>AT51*$C27*('Книга допущений'!$B$20^AT$57)*(1+Риски!$B$12)</f>
        <v>35.095756800000004</v>
      </c>
      <c r="AU76" s="153">
        <f>AU51*$C27*('Книга допущений'!$B$20^AU$57)*(1+Риски!$B$12)</f>
        <v>35.095756800000004</v>
      </c>
      <c r="AV76" s="153">
        <f>AV51*$C27*('Книга допущений'!$B$20^AV$57)*(1+Риски!$B$12)</f>
        <v>35.095756800000004</v>
      </c>
      <c r="AW76" s="153">
        <f>AW51*$C27*('Книга допущений'!$B$20^AW$57)*(1+Риски!$B$12)</f>
        <v>35.095756800000004</v>
      </c>
      <c r="AX76" s="153">
        <f>AX51*$C27*('Книга допущений'!$B$20^AX$57)*(1+Риски!$B$12)</f>
        <v>35.095756800000004</v>
      </c>
      <c r="AY76" s="153">
        <f>AY51*$C27*('Книга допущений'!$B$20^AY$57)*(1+Риски!$B$12)</f>
        <v>35.095756800000004</v>
      </c>
      <c r="AZ76" s="153">
        <f>AZ51*$C27*('Книга допущений'!$B$20^AZ$57)*(1+Риски!$B$12)</f>
        <v>35.095756800000004</v>
      </c>
      <c r="BA76" s="153">
        <f>BA51*$C27*('Книга допущений'!$B$20^BA$57)*(1+Риски!$B$12)</f>
        <v>36.499587072000011</v>
      </c>
      <c r="BB76" s="153">
        <f>BB51*$C27*('Книга допущений'!$B$20^BB$57)*(1+Риски!$B$12)</f>
        <v>36.499587072000011</v>
      </c>
      <c r="BC76" s="153">
        <f>BC51*$C27*('Книга допущений'!$B$20^BC$57)*(1+Риски!$B$12)</f>
        <v>36.499587072000011</v>
      </c>
      <c r="BD76" s="153">
        <f>BD51*$C27*('Книга допущений'!$B$20^BD$57)*(1+Риски!$B$12)</f>
        <v>36.499587072000011</v>
      </c>
      <c r="BE76" s="153">
        <f>BE51*$C27*('Книга допущений'!$B$20^BE$57)*(1+Риски!$B$12)</f>
        <v>36.499587072000011</v>
      </c>
      <c r="BF76" s="153">
        <f>BF51*$C27*('Книга допущений'!$B$20^BF$57)*(1+Риски!$B$12)</f>
        <v>36.499587072000011</v>
      </c>
      <c r="BG76" s="153">
        <f>BG51*$C27*('Книга допущений'!$B$20^BG$57)*(1+Риски!$B$12)</f>
        <v>36.499587072000011</v>
      </c>
      <c r="BH76" s="153">
        <f>BH51*$C27*('Книга допущений'!$B$20^BH$57)*(1+Риски!$B$12)</f>
        <v>36.499587072000011</v>
      </c>
      <c r="BI76" s="153">
        <f>BI51*$C27*('Книга допущений'!$B$20^BI$57)*(1+Риски!$B$12)</f>
        <v>36.499587072000011</v>
      </c>
      <c r="BJ76" s="153">
        <f>BJ51*$C27*('Книга допущений'!$B$20^BJ$57)*(1+Риски!$B$12)</f>
        <v>36.499587072000011</v>
      </c>
      <c r="BK76" s="153">
        <f>BK51*$C27*('Книга допущений'!$B$20^BK$57)*(1+Риски!$B$12)</f>
        <v>36.499587072000011</v>
      </c>
      <c r="BL76" s="153">
        <f>BL51*$C27*('Книга допущений'!$B$20^BL$57)*(1+Риски!$B$12)</f>
        <v>36.499587072000011</v>
      </c>
      <c r="BM76" s="153">
        <f>BM51*$C27*('Книга допущений'!$B$20^BM$57)*(1+Риски!$B$12)</f>
        <v>37.95957055488001</v>
      </c>
      <c r="BN76" s="153">
        <f>BN51*$C27*('Книга допущений'!$B$20^BN$57)*(1+Риски!$B$12)</f>
        <v>37.95957055488001</v>
      </c>
      <c r="BO76" s="153">
        <f>BO51*$C27*('Книга допущений'!$B$20^BO$57)*(1+Риски!$B$12)</f>
        <v>37.95957055488001</v>
      </c>
      <c r="BP76" s="153">
        <f>BP51*$C27*('Книга допущений'!$B$20^BP$57)*(1+Риски!$B$12)</f>
        <v>37.95957055488001</v>
      </c>
      <c r="BQ76" s="153">
        <f>BQ51*$C27*('Книга допущений'!$B$20^BQ$57)*(1+Риски!$B$12)</f>
        <v>37.95957055488001</v>
      </c>
      <c r="BR76" s="153">
        <f>BR51*$C27*('Книга допущений'!$B$20^BR$57)*(1+Риски!$B$12)</f>
        <v>37.95957055488001</v>
      </c>
      <c r="BS76" s="153">
        <f>BS51*$C27*('Книга допущений'!$B$20^BS$57)*(1+Риски!$B$12)</f>
        <v>37.95957055488001</v>
      </c>
      <c r="BT76" s="153">
        <f>BT51*$C27*('Книга допущений'!$B$20^BT$57)*(1+Риски!$B$12)</f>
        <v>37.95957055488001</v>
      </c>
      <c r="BU76" s="153">
        <f>BU51*$C27*('Книга допущений'!$B$20^BU$57)*(1+Риски!$B$12)</f>
        <v>37.95957055488001</v>
      </c>
      <c r="BV76" s="153">
        <f>BV51*$C27*('Книга допущений'!$B$20^BV$57)*(1+Риски!$B$12)</f>
        <v>37.95957055488001</v>
      </c>
      <c r="BW76" s="153">
        <f>BW51*$C27*('Книга допущений'!$B$20^BW$57)*(1+Риски!$B$12)</f>
        <v>37.95957055488001</v>
      </c>
      <c r="BX76" s="153">
        <f>BX51*$C27*('Книга допущений'!$B$20^BX$57)*(1+Риски!$B$12)</f>
        <v>37.95957055488001</v>
      </c>
    </row>
    <row r="77" spans="1:76" x14ac:dyDescent="0.25">
      <c r="A77" s="110" t="s">
        <v>115</v>
      </c>
      <c r="B77" s="111">
        <f>B73+B68+B63+B58</f>
        <v>100</v>
      </c>
      <c r="C77" s="111">
        <f t="shared" ref="C77:BN77" si="76">C73+C68+C63+C58</f>
        <v>100</v>
      </c>
      <c r="D77" s="111">
        <f t="shared" si="76"/>
        <v>100</v>
      </c>
      <c r="E77" s="111">
        <f t="shared" si="76"/>
        <v>104</v>
      </c>
      <c r="F77" s="111">
        <f t="shared" si="76"/>
        <v>104</v>
      </c>
      <c r="G77" s="111">
        <f t="shared" si="76"/>
        <v>104</v>
      </c>
      <c r="H77" s="111">
        <f t="shared" si="76"/>
        <v>104</v>
      </c>
      <c r="I77" s="111">
        <f t="shared" si="76"/>
        <v>104</v>
      </c>
      <c r="J77" s="111">
        <f t="shared" si="76"/>
        <v>322.39999999999998</v>
      </c>
      <c r="K77" s="111">
        <f t="shared" si="76"/>
        <v>624</v>
      </c>
      <c r="L77" s="111">
        <f t="shared" si="76"/>
        <v>951.6</v>
      </c>
      <c r="M77" s="111">
        <f t="shared" si="76"/>
        <v>951.6</v>
      </c>
      <c r="N77" s="111">
        <f t="shared" si="76"/>
        <v>951.6</v>
      </c>
      <c r="O77" s="111">
        <f t="shared" si="76"/>
        <v>951.6</v>
      </c>
      <c r="P77" s="111">
        <f t="shared" si="76"/>
        <v>951.6</v>
      </c>
      <c r="Q77" s="111">
        <f t="shared" si="76"/>
        <v>989.66399999999999</v>
      </c>
      <c r="R77" s="111">
        <f t="shared" si="76"/>
        <v>989.66399999999999</v>
      </c>
      <c r="S77" s="111">
        <f t="shared" si="76"/>
        <v>989.66399999999999</v>
      </c>
      <c r="T77" s="111">
        <f t="shared" si="76"/>
        <v>989.66399999999999</v>
      </c>
      <c r="U77" s="111">
        <f t="shared" si="76"/>
        <v>989.66399999999999</v>
      </c>
      <c r="V77" s="111">
        <f t="shared" si="76"/>
        <v>989.66399999999999</v>
      </c>
      <c r="W77" s="111">
        <f t="shared" si="76"/>
        <v>989.66399999999999</v>
      </c>
      <c r="X77" s="111">
        <f t="shared" si="76"/>
        <v>989.66399999999999</v>
      </c>
      <c r="Y77" s="111">
        <f t="shared" si="76"/>
        <v>989.66399999999999</v>
      </c>
      <c r="Z77" s="111">
        <f t="shared" si="76"/>
        <v>989.66399999999999</v>
      </c>
      <c r="AA77" s="111">
        <f t="shared" si="76"/>
        <v>989.66399999999999</v>
      </c>
      <c r="AB77" s="111">
        <f t="shared" si="76"/>
        <v>989.66399999999999</v>
      </c>
      <c r="AC77" s="111">
        <f t="shared" si="76"/>
        <v>1029.25056</v>
      </c>
      <c r="AD77" s="111">
        <f t="shared" si="76"/>
        <v>1029.25056</v>
      </c>
      <c r="AE77" s="111">
        <f t="shared" si="76"/>
        <v>1029.25056</v>
      </c>
      <c r="AF77" s="111">
        <f t="shared" si="76"/>
        <v>1029.25056</v>
      </c>
      <c r="AG77" s="111">
        <f t="shared" si="76"/>
        <v>1029.25056</v>
      </c>
      <c r="AH77" s="111">
        <f t="shared" si="76"/>
        <v>1029.25056</v>
      </c>
      <c r="AI77" s="111">
        <f t="shared" si="76"/>
        <v>1029.25056</v>
      </c>
      <c r="AJ77" s="111">
        <f t="shared" si="76"/>
        <v>1029.25056</v>
      </c>
      <c r="AK77" s="111">
        <f t="shared" si="76"/>
        <v>1029.25056</v>
      </c>
      <c r="AL77" s="111">
        <f t="shared" si="76"/>
        <v>1029.25056</v>
      </c>
      <c r="AM77" s="111">
        <f t="shared" si="76"/>
        <v>1029.25056</v>
      </c>
      <c r="AN77" s="111">
        <f t="shared" si="76"/>
        <v>1029.25056</v>
      </c>
      <c r="AO77" s="111">
        <f t="shared" si="76"/>
        <v>1070.4205824000003</v>
      </c>
      <c r="AP77" s="111">
        <f t="shared" si="76"/>
        <v>1070.4205824000003</v>
      </c>
      <c r="AQ77" s="111">
        <f t="shared" si="76"/>
        <v>1070.4205824000003</v>
      </c>
      <c r="AR77" s="111">
        <f t="shared" si="76"/>
        <v>1070.4205824000003</v>
      </c>
      <c r="AS77" s="111">
        <f t="shared" si="76"/>
        <v>1070.4205824000003</v>
      </c>
      <c r="AT77" s="111">
        <f t="shared" si="76"/>
        <v>1070.4205824000003</v>
      </c>
      <c r="AU77" s="111">
        <f t="shared" si="76"/>
        <v>1070.4205824000003</v>
      </c>
      <c r="AV77" s="111">
        <f t="shared" si="76"/>
        <v>1070.4205824000003</v>
      </c>
      <c r="AW77" s="111">
        <f t="shared" si="76"/>
        <v>1070.4205824000003</v>
      </c>
      <c r="AX77" s="111">
        <f t="shared" si="76"/>
        <v>1070.4205824000003</v>
      </c>
      <c r="AY77" s="111">
        <f t="shared" si="76"/>
        <v>1070.4205824000003</v>
      </c>
      <c r="AZ77" s="111">
        <f t="shared" si="76"/>
        <v>1070.4205824000003</v>
      </c>
      <c r="BA77" s="111">
        <f t="shared" si="76"/>
        <v>1113.2374056960002</v>
      </c>
      <c r="BB77" s="111">
        <f t="shared" si="76"/>
        <v>1113.2374056960002</v>
      </c>
      <c r="BC77" s="111">
        <f t="shared" si="76"/>
        <v>1113.2374056960002</v>
      </c>
      <c r="BD77" s="111">
        <f t="shared" si="76"/>
        <v>1113.2374056960002</v>
      </c>
      <c r="BE77" s="111">
        <f t="shared" si="76"/>
        <v>1113.2374056960002</v>
      </c>
      <c r="BF77" s="111">
        <f t="shared" si="76"/>
        <v>1113.2374056960002</v>
      </c>
      <c r="BG77" s="111">
        <f t="shared" si="76"/>
        <v>1113.2374056960002</v>
      </c>
      <c r="BH77" s="111">
        <f t="shared" si="76"/>
        <v>1113.2374056960002</v>
      </c>
      <c r="BI77" s="111">
        <f t="shared" si="76"/>
        <v>1113.2374056960002</v>
      </c>
      <c r="BJ77" s="111">
        <f t="shared" si="76"/>
        <v>1113.2374056960002</v>
      </c>
      <c r="BK77" s="111">
        <f t="shared" si="76"/>
        <v>1113.2374056960002</v>
      </c>
      <c r="BL77" s="111">
        <f t="shared" si="76"/>
        <v>1113.2374056960002</v>
      </c>
      <c r="BM77" s="111">
        <f t="shared" si="76"/>
        <v>1157.7669019238401</v>
      </c>
      <c r="BN77" s="111">
        <f t="shared" si="76"/>
        <v>1157.7669019238401</v>
      </c>
      <c r="BO77" s="111">
        <f t="shared" ref="BO77:BX77" si="77">BO73+BO68+BO63+BO58</f>
        <v>1157.7669019238401</v>
      </c>
      <c r="BP77" s="111">
        <f t="shared" si="77"/>
        <v>1157.7669019238401</v>
      </c>
      <c r="BQ77" s="111">
        <f t="shared" si="77"/>
        <v>1157.7669019238401</v>
      </c>
      <c r="BR77" s="111">
        <f t="shared" si="77"/>
        <v>1157.7669019238401</v>
      </c>
      <c r="BS77" s="111">
        <f t="shared" si="77"/>
        <v>1157.7669019238401</v>
      </c>
      <c r="BT77" s="111">
        <f t="shared" si="77"/>
        <v>1157.7669019238401</v>
      </c>
      <c r="BU77" s="111">
        <f t="shared" si="77"/>
        <v>1157.7669019238401</v>
      </c>
      <c r="BV77" s="111">
        <f t="shared" si="77"/>
        <v>1157.7669019238401</v>
      </c>
      <c r="BW77" s="111">
        <f t="shared" si="77"/>
        <v>1157.7669019238401</v>
      </c>
      <c r="BX77" s="111">
        <f t="shared" si="77"/>
        <v>1157.7669019238401</v>
      </c>
    </row>
    <row r="78" spans="1:76" ht="12.75" customHeight="1" x14ac:dyDescent="0.25">
      <c r="A78" s="384" t="s">
        <v>58</v>
      </c>
      <c r="B78" s="385">
        <f>B77/B52*1000</f>
        <v>100000</v>
      </c>
      <c r="C78" s="385">
        <f t="shared" ref="C78:BN78" si="78">C77/C52*1000</f>
        <v>100000</v>
      </c>
      <c r="D78" s="385">
        <f t="shared" si="78"/>
        <v>100000</v>
      </c>
      <c r="E78" s="385">
        <f t="shared" si="78"/>
        <v>104000</v>
      </c>
      <c r="F78" s="385">
        <f t="shared" si="78"/>
        <v>104000</v>
      </c>
      <c r="G78" s="385">
        <f t="shared" si="78"/>
        <v>104000</v>
      </c>
      <c r="H78" s="385">
        <f t="shared" si="78"/>
        <v>104000</v>
      </c>
      <c r="I78" s="385">
        <f t="shared" si="78"/>
        <v>104000</v>
      </c>
      <c r="J78" s="385">
        <f t="shared" si="78"/>
        <v>80600</v>
      </c>
      <c r="K78" s="385">
        <f t="shared" si="78"/>
        <v>36705.882352941175</v>
      </c>
      <c r="L78" s="385">
        <f t="shared" si="78"/>
        <v>29737.5</v>
      </c>
      <c r="M78" s="385">
        <f t="shared" si="78"/>
        <v>29737.5</v>
      </c>
      <c r="N78" s="385">
        <f t="shared" si="78"/>
        <v>29737.5</v>
      </c>
      <c r="O78" s="385">
        <f t="shared" si="78"/>
        <v>29737.5</v>
      </c>
      <c r="P78" s="385">
        <f t="shared" si="78"/>
        <v>29737.5</v>
      </c>
      <c r="Q78" s="385">
        <f t="shared" si="78"/>
        <v>30927</v>
      </c>
      <c r="R78" s="385">
        <f t="shared" si="78"/>
        <v>30927</v>
      </c>
      <c r="S78" s="385">
        <f t="shared" si="78"/>
        <v>30927</v>
      </c>
      <c r="T78" s="385">
        <f t="shared" si="78"/>
        <v>30927</v>
      </c>
      <c r="U78" s="385">
        <f t="shared" si="78"/>
        <v>30927</v>
      </c>
      <c r="V78" s="385">
        <f t="shared" si="78"/>
        <v>30927</v>
      </c>
      <c r="W78" s="385">
        <f t="shared" si="78"/>
        <v>30927</v>
      </c>
      <c r="X78" s="385">
        <f t="shared" si="78"/>
        <v>30927</v>
      </c>
      <c r="Y78" s="385">
        <f t="shared" si="78"/>
        <v>30927</v>
      </c>
      <c r="Z78" s="385">
        <f t="shared" si="78"/>
        <v>30927</v>
      </c>
      <c r="AA78" s="385">
        <f t="shared" si="78"/>
        <v>30927</v>
      </c>
      <c r="AB78" s="385">
        <f t="shared" si="78"/>
        <v>30927</v>
      </c>
      <c r="AC78" s="385">
        <f t="shared" si="78"/>
        <v>32164.079999999998</v>
      </c>
      <c r="AD78" s="385">
        <f t="shared" si="78"/>
        <v>32164.079999999998</v>
      </c>
      <c r="AE78" s="385">
        <f t="shared" si="78"/>
        <v>32164.079999999998</v>
      </c>
      <c r="AF78" s="385">
        <f t="shared" si="78"/>
        <v>32164.079999999998</v>
      </c>
      <c r="AG78" s="385">
        <f t="shared" si="78"/>
        <v>32164.079999999998</v>
      </c>
      <c r="AH78" s="385">
        <f t="shared" si="78"/>
        <v>32164.079999999998</v>
      </c>
      <c r="AI78" s="385">
        <f t="shared" si="78"/>
        <v>32164.079999999998</v>
      </c>
      <c r="AJ78" s="385">
        <f t="shared" si="78"/>
        <v>32164.079999999998</v>
      </c>
      <c r="AK78" s="385">
        <f t="shared" si="78"/>
        <v>32164.079999999998</v>
      </c>
      <c r="AL78" s="385">
        <f t="shared" si="78"/>
        <v>32164.079999999998</v>
      </c>
      <c r="AM78" s="385">
        <f t="shared" si="78"/>
        <v>32164.079999999998</v>
      </c>
      <c r="AN78" s="385">
        <f t="shared" si="78"/>
        <v>32164.079999999998</v>
      </c>
      <c r="AO78" s="385">
        <f t="shared" si="78"/>
        <v>33450.643200000006</v>
      </c>
      <c r="AP78" s="385">
        <f t="shared" si="78"/>
        <v>33450.643200000006</v>
      </c>
      <c r="AQ78" s="385">
        <f t="shared" si="78"/>
        <v>33450.643200000006</v>
      </c>
      <c r="AR78" s="385">
        <f t="shared" si="78"/>
        <v>33450.643200000006</v>
      </c>
      <c r="AS78" s="385">
        <f t="shared" si="78"/>
        <v>33450.643200000006</v>
      </c>
      <c r="AT78" s="385">
        <f t="shared" si="78"/>
        <v>33450.643200000006</v>
      </c>
      <c r="AU78" s="385">
        <f t="shared" si="78"/>
        <v>33450.643200000006</v>
      </c>
      <c r="AV78" s="385">
        <f t="shared" si="78"/>
        <v>33450.643200000006</v>
      </c>
      <c r="AW78" s="385">
        <f t="shared" si="78"/>
        <v>33450.643200000006</v>
      </c>
      <c r="AX78" s="385">
        <f t="shared" si="78"/>
        <v>33450.643200000006</v>
      </c>
      <c r="AY78" s="385">
        <f t="shared" si="78"/>
        <v>33450.643200000006</v>
      </c>
      <c r="AZ78" s="385">
        <f t="shared" si="78"/>
        <v>33450.643200000006</v>
      </c>
      <c r="BA78" s="385">
        <f t="shared" si="78"/>
        <v>34788.668928000006</v>
      </c>
      <c r="BB78" s="385">
        <f t="shared" si="78"/>
        <v>34788.668928000006</v>
      </c>
      <c r="BC78" s="385">
        <f t="shared" si="78"/>
        <v>34788.668928000006</v>
      </c>
      <c r="BD78" s="385">
        <f t="shared" si="78"/>
        <v>34788.668928000006</v>
      </c>
      <c r="BE78" s="385">
        <f t="shared" si="78"/>
        <v>34788.668928000006</v>
      </c>
      <c r="BF78" s="385">
        <f t="shared" si="78"/>
        <v>34788.668928000006</v>
      </c>
      <c r="BG78" s="385">
        <f t="shared" si="78"/>
        <v>34788.668928000006</v>
      </c>
      <c r="BH78" s="385">
        <f t="shared" si="78"/>
        <v>34788.668928000006</v>
      </c>
      <c r="BI78" s="385">
        <f t="shared" si="78"/>
        <v>34788.668928000006</v>
      </c>
      <c r="BJ78" s="385">
        <f t="shared" si="78"/>
        <v>34788.668928000006</v>
      </c>
      <c r="BK78" s="385">
        <f t="shared" si="78"/>
        <v>34788.668928000006</v>
      </c>
      <c r="BL78" s="385">
        <f t="shared" si="78"/>
        <v>34788.668928000006</v>
      </c>
      <c r="BM78" s="385">
        <f t="shared" si="78"/>
        <v>36180.215685120005</v>
      </c>
      <c r="BN78" s="385">
        <f t="shared" si="78"/>
        <v>36180.215685120005</v>
      </c>
      <c r="BO78" s="385">
        <f t="shared" ref="BO78:BX78" si="79">BO77/BO52*1000</f>
        <v>36180.215685120005</v>
      </c>
      <c r="BP78" s="385">
        <f t="shared" si="79"/>
        <v>36180.215685120005</v>
      </c>
      <c r="BQ78" s="385">
        <f t="shared" si="79"/>
        <v>36180.215685120005</v>
      </c>
      <c r="BR78" s="385">
        <f t="shared" si="79"/>
        <v>36180.215685120005</v>
      </c>
      <c r="BS78" s="385">
        <f t="shared" si="79"/>
        <v>36180.215685120005</v>
      </c>
      <c r="BT78" s="385">
        <f t="shared" si="79"/>
        <v>36180.215685120005</v>
      </c>
      <c r="BU78" s="385">
        <f t="shared" si="79"/>
        <v>36180.215685120005</v>
      </c>
      <c r="BV78" s="385">
        <f t="shared" si="79"/>
        <v>36180.215685120005</v>
      </c>
      <c r="BW78" s="385">
        <f t="shared" si="79"/>
        <v>36180.215685120005</v>
      </c>
      <c r="BX78" s="385">
        <f t="shared" si="79"/>
        <v>36180.215685120005</v>
      </c>
    </row>
    <row r="79" spans="1:76" ht="12.75" customHeight="1" x14ac:dyDescent="0.25">
      <c r="A79" s="264" t="s">
        <v>371</v>
      </c>
      <c r="B79" s="265">
        <f>SUM(B80:B84)</f>
        <v>0</v>
      </c>
      <c r="C79" s="265">
        <f t="shared" ref="C79:BN79" si="80">SUM(C80:C84)</f>
        <v>0</v>
      </c>
      <c r="D79" s="265">
        <f t="shared" si="80"/>
        <v>0</v>
      </c>
      <c r="E79" s="265">
        <f t="shared" si="80"/>
        <v>0</v>
      </c>
      <c r="F79" s="265">
        <f t="shared" si="80"/>
        <v>0</v>
      </c>
      <c r="G79" s="265">
        <f t="shared" si="80"/>
        <v>0</v>
      </c>
      <c r="H79" s="265">
        <f t="shared" si="80"/>
        <v>0</v>
      </c>
      <c r="I79" s="265">
        <f t="shared" si="80"/>
        <v>0</v>
      </c>
      <c r="J79" s="265">
        <f t="shared" si="80"/>
        <v>0</v>
      </c>
      <c r="K79" s="265">
        <f t="shared" si="80"/>
        <v>624.00000000000011</v>
      </c>
      <c r="L79" s="265">
        <f t="shared" si="80"/>
        <v>951.6</v>
      </c>
      <c r="M79" s="265">
        <f t="shared" si="80"/>
        <v>951.6</v>
      </c>
      <c r="N79" s="265">
        <f t="shared" si="80"/>
        <v>951.6</v>
      </c>
      <c r="O79" s="265">
        <f t="shared" si="80"/>
        <v>951.6</v>
      </c>
      <c r="P79" s="265">
        <f t="shared" si="80"/>
        <v>951.6</v>
      </c>
      <c r="Q79" s="265">
        <f t="shared" si="80"/>
        <v>989.66400000000021</v>
      </c>
      <c r="R79" s="265">
        <f t="shared" si="80"/>
        <v>989.66399999999999</v>
      </c>
      <c r="S79" s="265">
        <f t="shared" si="80"/>
        <v>989.6640000000001</v>
      </c>
      <c r="T79" s="265">
        <f t="shared" si="80"/>
        <v>989.66399999999999</v>
      </c>
      <c r="U79" s="265">
        <f t="shared" si="80"/>
        <v>989.6640000000001</v>
      </c>
      <c r="V79" s="265">
        <f t="shared" si="80"/>
        <v>989.6640000000001</v>
      </c>
      <c r="W79" s="265">
        <f t="shared" si="80"/>
        <v>989.66399999999999</v>
      </c>
      <c r="X79" s="265">
        <f t="shared" si="80"/>
        <v>989.6640000000001</v>
      </c>
      <c r="Y79" s="265">
        <f t="shared" si="80"/>
        <v>989.6640000000001</v>
      </c>
      <c r="Z79" s="265">
        <f t="shared" si="80"/>
        <v>989.6640000000001</v>
      </c>
      <c r="AA79" s="265">
        <f t="shared" si="80"/>
        <v>989.6640000000001</v>
      </c>
      <c r="AB79" s="265">
        <f t="shared" si="80"/>
        <v>989.6640000000001</v>
      </c>
      <c r="AC79" s="265">
        <f t="shared" si="80"/>
        <v>1029.2505600000002</v>
      </c>
      <c r="AD79" s="265">
        <f t="shared" si="80"/>
        <v>1029.2505600000002</v>
      </c>
      <c r="AE79" s="265">
        <f t="shared" si="80"/>
        <v>1029.2505600000002</v>
      </c>
      <c r="AF79" s="265">
        <f t="shared" si="80"/>
        <v>1029.25056</v>
      </c>
      <c r="AG79" s="265">
        <f t="shared" si="80"/>
        <v>1029.2505600000002</v>
      </c>
      <c r="AH79" s="265">
        <f t="shared" si="80"/>
        <v>1029.2505600000002</v>
      </c>
      <c r="AI79" s="265">
        <f t="shared" si="80"/>
        <v>1029.2505600000002</v>
      </c>
      <c r="AJ79" s="265">
        <f t="shared" si="80"/>
        <v>1029.2505600000002</v>
      </c>
      <c r="AK79" s="265">
        <f t="shared" si="80"/>
        <v>1029.2505600000002</v>
      </c>
      <c r="AL79" s="265">
        <f t="shared" si="80"/>
        <v>1029.2505600000002</v>
      </c>
      <c r="AM79" s="265">
        <f t="shared" si="80"/>
        <v>1029.25056</v>
      </c>
      <c r="AN79" s="265">
        <f t="shared" si="80"/>
        <v>1029.2505600000002</v>
      </c>
      <c r="AO79" s="265">
        <f t="shared" si="80"/>
        <v>1070.4205824000001</v>
      </c>
      <c r="AP79" s="265">
        <f t="shared" si="80"/>
        <v>1070.4205824000001</v>
      </c>
      <c r="AQ79" s="265">
        <f t="shared" si="80"/>
        <v>1070.4205824000001</v>
      </c>
      <c r="AR79" s="265">
        <f t="shared" si="80"/>
        <v>1070.4205824000003</v>
      </c>
      <c r="AS79" s="265">
        <f t="shared" si="80"/>
        <v>1070.4205823999998</v>
      </c>
      <c r="AT79" s="265">
        <f t="shared" si="80"/>
        <v>1070.4205824000001</v>
      </c>
      <c r="AU79" s="265">
        <f t="shared" si="80"/>
        <v>1070.4205824000001</v>
      </c>
      <c r="AV79" s="265">
        <f t="shared" si="80"/>
        <v>1070.4205824000001</v>
      </c>
      <c r="AW79" s="265">
        <f t="shared" si="80"/>
        <v>1070.4205823999998</v>
      </c>
      <c r="AX79" s="265">
        <f t="shared" si="80"/>
        <v>1070.4205824000001</v>
      </c>
      <c r="AY79" s="265">
        <f t="shared" si="80"/>
        <v>1070.4205824000003</v>
      </c>
      <c r="AZ79" s="265">
        <f t="shared" si="80"/>
        <v>1070.4205824000003</v>
      </c>
      <c r="BA79" s="265">
        <f t="shared" si="80"/>
        <v>1113.2374056960002</v>
      </c>
      <c r="BB79" s="265">
        <f t="shared" si="80"/>
        <v>1113.2374056960005</v>
      </c>
      <c r="BC79" s="265">
        <f t="shared" si="80"/>
        <v>1113.2374056960002</v>
      </c>
      <c r="BD79" s="265">
        <f t="shared" si="80"/>
        <v>1113.2374056960005</v>
      </c>
      <c r="BE79" s="265">
        <f t="shared" si="80"/>
        <v>1113.2374056960005</v>
      </c>
      <c r="BF79" s="265">
        <f t="shared" si="80"/>
        <v>1113.2374056960005</v>
      </c>
      <c r="BG79" s="265">
        <f t="shared" si="80"/>
        <v>1113.2374056960005</v>
      </c>
      <c r="BH79" s="265">
        <f t="shared" si="80"/>
        <v>1113.2374056960005</v>
      </c>
      <c r="BI79" s="265">
        <f t="shared" si="80"/>
        <v>1113.2374056960005</v>
      </c>
      <c r="BJ79" s="265">
        <f t="shared" si="80"/>
        <v>1113.2374056960002</v>
      </c>
      <c r="BK79" s="265">
        <f t="shared" si="80"/>
        <v>1113.2374056960005</v>
      </c>
      <c r="BL79" s="265">
        <f t="shared" si="80"/>
        <v>1113.2374056960005</v>
      </c>
      <c r="BM79" s="265">
        <f t="shared" si="80"/>
        <v>1157.7669019238404</v>
      </c>
      <c r="BN79" s="265">
        <f t="shared" si="80"/>
        <v>1157.7669019238401</v>
      </c>
      <c r="BO79" s="265">
        <f t="shared" ref="BO79:BX79" si="81">SUM(BO80:BO84)</f>
        <v>1157.7669019238404</v>
      </c>
      <c r="BP79" s="265">
        <f t="shared" si="81"/>
        <v>1157.7669019238401</v>
      </c>
      <c r="BQ79" s="265">
        <f t="shared" si="81"/>
        <v>1157.7669019238406</v>
      </c>
      <c r="BR79" s="265">
        <f t="shared" si="81"/>
        <v>1157.7669019238406</v>
      </c>
      <c r="BS79" s="265">
        <f t="shared" si="81"/>
        <v>1157.7669019238406</v>
      </c>
      <c r="BT79" s="265">
        <f t="shared" si="81"/>
        <v>1157.7669019238406</v>
      </c>
      <c r="BU79" s="265">
        <f t="shared" si="81"/>
        <v>1157.7669019238406</v>
      </c>
      <c r="BV79" s="265">
        <f t="shared" si="81"/>
        <v>1157.7669019238406</v>
      </c>
      <c r="BW79" s="265">
        <f t="shared" si="81"/>
        <v>1157.7669019238401</v>
      </c>
      <c r="BX79" s="265">
        <f t="shared" si="81"/>
        <v>1157.7669019238406</v>
      </c>
    </row>
    <row r="80" spans="1:76" s="30" customFormat="1" ht="12.75" customHeight="1" x14ac:dyDescent="0.25">
      <c r="A80" s="152" t="str">
        <f>'План продаж'!A14</f>
        <v>Проживание</v>
      </c>
      <c r="B80" s="153">
        <f>IF('План продаж'!C$27=0,0,B63+(B73+B58)/'План продаж'!C$27*'План продаж'!C28)</f>
        <v>0</v>
      </c>
      <c r="C80" s="153">
        <f>IF('План продаж'!D$27=0,0,C63+(C73+C58)/'План продаж'!D$27*'План продаж'!D28)</f>
        <v>0</v>
      </c>
      <c r="D80" s="153">
        <f>IF('План продаж'!E$27=0,0,D63+(D73+D58)/'План продаж'!E$27*'План продаж'!E28)</f>
        <v>0</v>
      </c>
      <c r="E80" s="153">
        <f>IF('План продаж'!F$27=0,0,E63+(E73+E58)/'План продаж'!F$27*'План продаж'!F28)</f>
        <v>0</v>
      </c>
      <c r="F80" s="153">
        <f>IF('План продаж'!G$27=0,0,F63+(F73+F58)/'План продаж'!G$27*'План продаж'!G28)</f>
        <v>0</v>
      </c>
      <c r="G80" s="153">
        <f>IF('План продаж'!H$27=0,0,G63+(G73+G58)/'План продаж'!H$27*'План продаж'!H28)</f>
        <v>0</v>
      </c>
      <c r="H80" s="153">
        <f>IF('План продаж'!I$27=0,0,H63+(H73+H58)/'План продаж'!I$27*'План продаж'!I28)</f>
        <v>0</v>
      </c>
      <c r="I80" s="153">
        <f>IF('План продаж'!J$27=0,0,I63+(I73+I58)/'План продаж'!J$27*'План продаж'!J28)</f>
        <v>0</v>
      </c>
      <c r="J80" s="153">
        <f>IF('План продаж'!K$27=0,0,J63+(J73+J58)/'План продаж'!K$27*'План продаж'!K28)</f>
        <v>0</v>
      </c>
      <c r="K80" s="153">
        <f>IF('План продаж'!L$27=0,0,K63+(K73+K58)/'План продаж'!L$27*'План продаж'!L28)</f>
        <v>478.14827109266946</v>
      </c>
      <c r="L80" s="153">
        <f>IF('План продаж'!M$27=0,0,L63+(L73+L58)/'План продаж'!M$27*'План продаж'!M28)</f>
        <v>557.26307053941912</v>
      </c>
      <c r="M80" s="153">
        <f>IF('План продаж'!N$27=0,0,M63+(M73+M58)/'План продаж'!N$27*'План продаж'!N28)</f>
        <v>557.26307053941912</v>
      </c>
      <c r="N80" s="153">
        <f>IF('План продаж'!O$27=0,0,N63+(N73+N58)/'План продаж'!O$27*'План продаж'!O28)</f>
        <v>534.86548956661318</v>
      </c>
      <c r="O80" s="153">
        <f>IF('План продаж'!P$27=0,0,O63+(O73+O58)/'План продаж'!P$27*'План продаж'!P28)</f>
        <v>520.73507853403135</v>
      </c>
      <c r="P80" s="153">
        <f>IF('План продаж'!Q$27=0,0,P63+(P73+P58)/'План продаж'!Q$27*'План продаж'!Q28)</f>
        <v>557.263070539419</v>
      </c>
      <c r="Q80" s="153">
        <f>IF('План продаж'!R$27=0,0,Q63+(Q73+Q58)/'План продаж'!R$27*'План продаж'!R28)</f>
        <v>556.26010914927781</v>
      </c>
      <c r="R80" s="153">
        <f>IF('План продаж'!S$27=0,0,R63+(R73+R58)/'План продаж'!S$27*'План продаж'!S28)</f>
        <v>541.5644816753927</v>
      </c>
      <c r="S80" s="153">
        <f>IF('План продаж'!T$27=0,0,S63+(S73+S58)/'План продаж'!T$27*'План продаж'!T28)</f>
        <v>556.2601091492777</v>
      </c>
      <c r="T80" s="153">
        <f>IF('План продаж'!U$27=0,0,T63+(T73+T58)/'План продаж'!U$27*'План продаж'!U28)</f>
        <v>541.5644816753927</v>
      </c>
      <c r="U80" s="153">
        <f>IF('План продаж'!V$27=0,0,U63+(U73+U58)/'План продаж'!V$27*'План продаж'!V28)</f>
        <v>579.55359336099593</v>
      </c>
      <c r="V80" s="153">
        <f>IF('План продаж'!W$27=0,0,V63+(V73+V58)/'План продаж'!W$27*'План продаж'!W28)</f>
        <v>579.55359336099593</v>
      </c>
      <c r="W80" s="153">
        <f>IF('План продаж'!X$27=0,0,W63+(W73+W58)/'План продаж'!X$27*'План продаж'!X28)</f>
        <v>579.55359336099582</v>
      </c>
      <c r="X80" s="153">
        <f>IF('План продаж'!Y$27=0,0,X63+(X73+X58)/'План продаж'!Y$27*'План продаж'!Y28)</f>
        <v>579.55359336099593</v>
      </c>
      <c r="Y80" s="153">
        <f>IF('План продаж'!Z$27=0,0,Y63+(Y73+Y58)/'План продаж'!Z$27*'План продаж'!Z28)</f>
        <v>579.55359336099593</v>
      </c>
      <c r="Z80" s="153">
        <f>IF('План продаж'!AA$27=0,0,Z63+(Z73+Z58)/'План продаж'!AA$27*'План продаж'!AA28)</f>
        <v>556.2601091492777</v>
      </c>
      <c r="AA80" s="153">
        <f>IF('План продаж'!AB$27=0,0,AA63+(AA73+AA58)/'План продаж'!AB$27*'План продаж'!AB28)</f>
        <v>541.5644816753927</v>
      </c>
      <c r="AB80" s="153">
        <f>IF('План продаж'!AC$27=0,0,AB63+(AB73+AB58)/'План продаж'!AC$27*'План продаж'!AC28)</f>
        <v>579.55359336099593</v>
      </c>
      <c r="AC80" s="153">
        <f>IF('План продаж'!AD$27=0,0,AC63+(AC73+AC58)/'План продаж'!AD$27*'План продаж'!AD28)</f>
        <v>578.51051351524893</v>
      </c>
      <c r="AD80" s="153">
        <f>IF('План продаж'!AE$27=0,0,AD63+(AD73+AD58)/'План продаж'!AE$27*'План продаж'!AE28)</f>
        <v>563.22706094240846</v>
      </c>
      <c r="AE80" s="153">
        <f>IF('План продаж'!AF$27=0,0,AE63+(AE73+AE58)/'План продаж'!AF$27*'План продаж'!AF28)</f>
        <v>578.51051351524893</v>
      </c>
      <c r="AF80" s="153">
        <f>IF('План продаж'!AG$27=0,0,AF63+(AF73+AF58)/'План продаж'!AG$27*'План продаж'!AG28)</f>
        <v>563.22706094240834</v>
      </c>
      <c r="AG80" s="153">
        <f>IF('План продаж'!AH$27=0,0,AG63+(AG73+AG58)/'План продаж'!AH$27*'План продаж'!AH28)</f>
        <v>602.73573709543575</v>
      </c>
      <c r="AH80" s="153">
        <f>IF('План продаж'!AI$27=0,0,AH63+(AH73+AH58)/'План продаж'!AI$27*'План продаж'!AI28)</f>
        <v>602.73573709543575</v>
      </c>
      <c r="AI80" s="153">
        <f>IF('План продаж'!AJ$27=0,0,AI63+(AI73+AI58)/'План продаж'!AJ$27*'План продаж'!AJ28)</f>
        <v>602.73573709543575</v>
      </c>
      <c r="AJ80" s="153">
        <f>IF('План продаж'!AK$27=0,0,AJ63+(AJ73+AJ58)/'План продаж'!AK$27*'План продаж'!AK28)</f>
        <v>602.73573709543575</v>
      </c>
      <c r="AK80" s="153">
        <f>IF('План продаж'!AL$27=0,0,AK63+(AK73+AK58)/'План продаж'!AL$27*'План продаж'!AL28)</f>
        <v>602.73573709543575</v>
      </c>
      <c r="AL80" s="153">
        <f>IF('План продаж'!AM$27=0,0,AL63+(AL73+AL58)/'План продаж'!AM$27*'План продаж'!AM28)</f>
        <v>578.51051351524882</v>
      </c>
      <c r="AM80" s="153">
        <f>IF('План продаж'!AN$27=0,0,AM63+(AM73+AM58)/'План продаж'!AN$27*'План продаж'!AN28)</f>
        <v>563.22706094240834</v>
      </c>
      <c r="AN80" s="153">
        <f>IF('План продаж'!AO$27=0,0,AN63+(AN73+AN58)/'План продаж'!AO$27*'План продаж'!AO28)</f>
        <v>602.73573709543575</v>
      </c>
      <c r="AO80" s="153">
        <f>IF('План продаж'!AP$27=0,0,AO63+(AO73+AO58)/'План продаж'!AP$27*'План продаж'!AP28)</f>
        <v>601.6509340558589</v>
      </c>
      <c r="AP80" s="153">
        <f>IF('План продаж'!AQ$27=0,0,AP63+(AP73+AP58)/'План продаж'!AQ$27*'План продаж'!AQ28)</f>
        <v>585.75614338010473</v>
      </c>
      <c r="AQ80" s="153">
        <f>IF('План продаж'!AR$27=0,0,AQ63+(AQ73+AQ58)/'План продаж'!AR$27*'План продаж'!AR28)</f>
        <v>601.6509340558589</v>
      </c>
      <c r="AR80" s="153">
        <f>IF('План продаж'!AS$27=0,0,AR63+(AR73+AR58)/'План продаж'!AS$27*'План продаж'!AS28)</f>
        <v>585.75614338010496</v>
      </c>
      <c r="AS80" s="153">
        <f>IF('План продаж'!AT$27=0,0,AS63+(AS73+AS58)/'План продаж'!AT$27*'План продаж'!AT28)</f>
        <v>626.84516657925315</v>
      </c>
      <c r="AT80" s="153">
        <f>IF('План продаж'!AU$27=0,0,AT63+(AT73+AT58)/'План продаж'!AU$27*'План продаж'!AU28)</f>
        <v>626.84516657925315</v>
      </c>
      <c r="AU80" s="153">
        <f>IF('План продаж'!AV$27=0,0,AU63+(AU73+AU58)/'План продаж'!AV$27*'План продаж'!AV28)</f>
        <v>626.84516657925315</v>
      </c>
      <c r="AV80" s="153">
        <f>IF('План продаж'!AW$27=0,0,AV63+(AV73+AV58)/'План продаж'!AW$27*'План продаж'!AW28)</f>
        <v>626.84516657925315</v>
      </c>
      <c r="AW80" s="153">
        <f>IF('План продаж'!AX$27=0,0,AW63+(AW73+AW58)/'План продаж'!AX$27*'План продаж'!AX28)</f>
        <v>626.84516657925315</v>
      </c>
      <c r="AX80" s="153">
        <f>IF('План продаж'!AY$27=0,0,AX63+(AX73+AX58)/'План продаж'!AY$27*'План продаж'!AY28)</f>
        <v>601.6509340558589</v>
      </c>
      <c r="AY80" s="153">
        <f>IF('План продаж'!AZ$27=0,0,AY63+(AY73+AY58)/'План продаж'!AZ$27*'План продаж'!AZ28)</f>
        <v>585.75614338010496</v>
      </c>
      <c r="AZ80" s="153">
        <f>IF('План продаж'!BA$27=0,0,AZ63+(AZ73+AZ58)/'План продаж'!BA$27*'План продаж'!BA28)</f>
        <v>626.84516657925337</v>
      </c>
      <c r="BA80" s="153">
        <f>IF('План продаж'!BB$27=0,0,BA63+(BA73+BA58)/'План продаж'!BB$27*'План продаж'!BB28)</f>
        <v>625.71697141809318</v>
      </c>
      <c r="BB80" s="153">
        <f>IF('План продаж'!BC$27=0,0,BB63+(BB73+BB58)/'План продаж'!BC$27*'План продаж'!BC28)</f>
        <v>609.18638911530911</v>
      </c>
      <c r="BC80" s="153">
        <f>IF('План продаж'!BD$27=0,0,BC63+(BC73+BC58)/'План продаж'!BD$27*'План продаж'!BD28)</f>
        <v>625.71697141809318</v>
      </c>
      <c r="BD80" s="153">
        <f>IF('План продаж'!BE$27=0,0,BD63+(BD73+BD58)/'План продаж'!BE$27*'План продаж'!BE28)</f>
        <v>609.18638911530911</v>
      </c>
      <c r="BE80" s="153">
        <f>IF('План продаж'!BF$27=0,0,BE63+(BE73+BE58)/'План продаж'!BF$27*'План продаж'!BF28)</f>
        <v>651.91897324242336</v>
      </c>
      <c r="BF80" s="153">
        <f>IF('План продаж'!BG$27=0,0,BF63+(BF73+BF58)/'План продаж'!BG$27*'План продаж'!BG28)</f>
        <v>651.91897324242336</v>
      </c>
      <c r="BG80" s="153">
        <f>IF('План продаж'!BH$27=0,0,BG63+(BG73+BG58)/'План продаж'!BH$27*'План продаж'!BH28)</f>
        <v>651.91897324242336</v>
      </c>
      <c r="BH80" s="153">
        <f>IF('План продаж'!BI$27=0,0,BH63+(BH73+BH58)/'План продаж'!BI$27*'План продаж'!BI28)</f>
        <v>651.91897324242336</v>
      </c>
      <c r="BI80" s="153">
        <f>IF('План продаж'!BJ$27=0,0,BI63+(BI73+BI58)/'План продаж'!BJ$27*'План продаж'!BJ28)</f>
        <v>651.91897324242336</v>
      </c>
      <c r="BJ80" s="153">
        <f>IF('План продаж'!BK$27=0,0,BJ63+(BJ73+BJ58)/'План продаж'!BK$27*'План продаж'!BK28)</f>
        <v>625.71697141809329</v>
      </c>
      <c r="BK80" s="153">
        <f>IF('План продаж'!BL$27=0,0,BK63+(BK73+BK58)/'План продаж'!BL$27*'План продаж'!BL28)</f>
        <v>609.18638911530911</v>
      </c>
      <c r="BL80" s="153">
        <f>IF('План продаж'!BM$27=0,0,BL63+(BL73+BL58)/'План продаж'!BM$27*'План продаж'!BM28)</f>
        <v>651.91897324242336</v>
      </c>
      <c r="BM80" s="153">
        <f>IF('План продаж'!BN$27=0,0,BM63+(BM73+BM58)/'План продаж'!BN$27*'План продаж'!BN28)</f>
        <v>650.74565027481697</v>
      </c>
      <c r="BN80" s="153">
        <f>IF('План продаж'!BO$27=0,0,BN63+(BN73+BN58)/'План продаж'!BO$27*'План продаж'!BO28)</f>
        <v>633.55384467992144</v>
      </c>
      <c r="BO80" s="153">
        <f>IF('План продаж'!BP$27=0,0,BO63+(BO73+BO58)/'План продаж'!BP$27*'План продаж'!BP28)</f>
        <v>650.74565027481697</v>
      </c>
      <c r="BP80" s="153">
        <f>IF('План продаж'!BQ$27=0,0,BP63+(BP73+BP58)/'План продаж'!BQ$27*'План продаж'!BQ28)</f>
        <v>633.55384467992144</v>
      </c>
      <c r="BQ80" s="153">
        <f>IF('План продаж'!BR$27=0,0,BQ63+(BQ73+BQ58)/'План продаж'!BR$27*'План продаж'!BR28)</f>
        <v>677.99573217212037</v>
      </c>
      <c r="BR80" s="153">
        <f>IF('План продаж'!BS$27=0,0,BR63+(BR73+BR58)/'План продаж'!BS$27*'План продаж'!BS28)</f>
        <v>677.99573217212037</v>
      </c>
      <c r="BS80" s="153">
        <f>IF('План продаж'!BT$27=0,0,BS63+(BS73+BS58)/'План продаж'!BT$27*'План продаж'!BT28)</f>
        <v>677.99573217212037</v>
      </c>
      <c r="BT80" s="153">
        <f>IF('План продаж'!BU$27=0,0,BT63+(BT73+BT58)/'План продаж'!BU$27*'План продаж'!BU28)</f>
        <v>677.99573217212037</v>
      </c>
      <c r="BU80" s="153">
        <f>IF('План продаж'!BV$27=0,0,BU63+(BU73+BU58)/'План продаж'!BV$27*'План продаж'!BV28)</f>
        <v>677.99573217212037</v>
      </c>
      <c r="BV80" s="153">
        <f>IF('План продаж'!BW$27=0,0,BV63+(BV73+BV58)/'План продаж'!BW$27*'План продаж'!BW28)</f>
        <v>650.74565027481708</v>
      </c>
      <c r="BW80" s="153">
        <f>IF('План продаж'!BX$27=0,0,BW63+(BW73+BW58)/'План продаж'!BX$27*'План продаж'!BX28)</f>
        <v>633.55384467992144</v>
      </c>
      <c r="BX80" s="153">
        <f>IF('План продаж'!BY$27=0,0,BX63+(BX73+BX58)/'План продаж'!BY$27*'План продаж'!BY28)</f>
        <v>677.99573217212037</v>
      </c>
    </row>
    <row r="81" spans="1:76" s="30" customFormat="1" ht="12.75" customHeight="1" x14ac:dyDescent="0.25">
      <c r="A81" s="152" t="str">
        <f>'План продаж'!A15</f>
        <v>Питание</v>
      </c>
      <c r="B81" s="153">
        <f>IF('План продаж'!C$27=0,0,B68+(B73+B58)/'План продаж'!C$27*'План продаж'!C29)</f>
        <v>0</v>
      </c>
      <c r="C81" s="153">
        <f>IF('План продаж'!D$27=0,0,C68+(C73+C58)/'План продаж'!D$27*'План продаж'!D29)</f>
        <v>0</v>
      </c>
      <c r="D81" s="153">
        <f>IF('План продаж'!E$27=0,0,D68+(D73+D58)/'План продаж'!E$27*'План продаж'!E29)</f>
        <v>0</v>
      </c>
      <c r="E81" s="153">
        <f>IF('План продаж'!F$27=0,0,E68+(E73+E58)/'План продаж'!F$27*'План продаж'!F29)</f>
        <v>0</v>
      </c>
      <c r="F81" s="153">
        <f>IF('План продаж'!G$27=0,0,F68+(F73+F58)/'План продаж'!G$27*'План продаж'!G29)</f>
        <v>0</v>
      </c>
      <c r="G81" s="153">
        <f>IF('План продаж'!H$27=0,0,G68+(G73+G58)/'План продаж'!H$27*'План продаж'!H29)</f>
        <v>0</v>
      </c>
      <c r="H81" s="153">
        <f>IF('План продаж'!I$27=0,0,H68+(H73+H58)/'План продаж'!I$27*'План продаж'!I29)</f>
        <v>0</v>
      </c>
      <c r="I81" s="153">
        <f>IF('План продаж'!J$27=0,0,I68+(I73+I58)/'План продаж'!J$27*'План продаж'!J29)</f>
        <v>0</v>
      </c>
      <c r="J81" s="153">
        <f>IF('План продаж'!K$27=0,0,J68+(J73+J58)/'План продаж'!K$27*'План продаж'!K29)</f>
        <v>0</v>
      </c>
      <c r="K81" s="153">
        <f>IF('План продаж'!L$27=0,0,K68+(K73+K58)/'План продаж'!L$27*'План продаж'!L29)</f>
        <v>107.04951590594743</v>
      </c>
      <c r="L81" s="153">
        <f>IF('План продаж'!M$27=0,0,L68+(L73+L58)/'План продаж'!M$27*'План продаж'!M29)</f>
        <v>342.40165975103736</v>
      </c>
      <c r="M81" s="153">
        <f>IF('План продаж'!N$27=0,0,M68+(M73+M58)/'План продаж'!N$27*'План продаж'!N29)</f>
        <v>342.4016597510373</v>
      </c>
      <c r="N81" s="153">
        <f>IF('План продаж'!O$27=0,0,N68+(N73+N58)/'План продаж'!O$27*'План продаж'!O29)</f>
        <v>356.46292134831458</v>
      </c>
      <c r="O81" s="153">
        <f>IF('План продаж'!P$27=0,0,O68+(O73+O58)/'План продаж'!P$27*'План продаж'!P29)</f>
        <v>365.33403141361259</v>
      </c>
      <c r="P81" s="153">
        <f>IF('План продаж'!Q$27=0,0,P68+(P73+P58)/'План продаж'!Q$27*'План продаж'!Q29)</f>
        <v>342.40165975103736</v>
      </c>
      <c r="Q81" s="153">
        <f>IF('План продаж'!R$27=0,0,Q68+(Q73+Q58)/'План продаж'!R$27*'План продаж'!R29)</f>
        <v>370.72143820224721</v>
      </c>
      <c r="R81" s="153">
        <f>IF('План продаж'!S$27=0,0,R68+(R73+R58)/'План продаж'!S$27*'План продаж'!S29)</f>
        <v>379.94739267015711</v>
      </c>
      <c r="S81" s="153">
        <f>IF('План продаж'!T$27=0,0,S68+(S73+S58)/'План продаж'!T$27*'План продаж'!T29)</f>
        <v>370.72143820224721</v>
      </c>
      <c r="T81" s="153">
        <f>IF('План продаж'!U$27=0,0,T68+(T73+T58)/'План продаж'!U$27*'План продаж'!U29)</f>
        <v>379.94739267015711</v>
      </c>
      <c r="U81" s="153">
        <f>IF('План продаж'!V$27=0,0,U68+(U73+U58)/'План продаж'!V$27*'План продаж'!V29)</f>
        <v>356.09772614107885</v>
      </c>
      <c r="V81" s="153">
        <f>IF('План продаж'!W$27=0,0,V68+(V73+V58)/'План продаж'!W$27*'План продаж'!W29)</f>
        <v>356.09772614107885</v>
      </c>
      <c r="W81" s="153">
        <f>IF('План продаж'!X$27=0,0,W68+(W73+W58)/'План продаж'!X$27*'План продаж'!X29)</f>
        <v>356.09772614107885</v>
      </c>
      <c r="X81" s="153">
        <f>IF('План продаж'!Y$27=0,0,X68+(X73+X58)/'План продаж'!Y$27*'План продаж'!Y29)</f>
        <v>356.09772614107885</v>
      </c>
      <c r="Y81" s="153">
        <f>IF('План продаж'!Z$27=0,0,Y68+(Y73+Y58)/'План продаж'!Z$27*'План продаж'!Z29)</f>
        <v>356.09772614107885</v>
      </c>
      <c r="Z81" s="153">
        <f>IF('План продаж'!AA$27=0,0,Z68+(Z73+Z58)/'План продаж'!AA$27*'План продаж'!AA29)</f>
        <v>370.72143820224721</v>
      </c>
      <c r="AA81" s="153">
        <f>IF('План продаж'!AB$27=0,0,AA68+(AA73+AA58)/'План продаж'!AB$27*'План продаж'!AB29)</f>
        <v>379.94739267015711</v>
      </c>
      <c r="AB81" s="153">
        <f>IF('План продаж'!AC$27=0,0,AB68+(AB73+AB58)/'План продаж'!AC$27*'План продаж'!AC29)</f>
        <v>356.09772614107885</v>
      </c>
      <c r="AC81" s="153">
        <f>IF('План продаж'!AD$27=0,0,AC68+(AC73+AC58)/'План продаж'!AD$27*'План продаж'!AD29)</f>
        <v>385.5502957303371</v>
      </c>
      <c r="AD81" s="153">
        <f>IF('План продаж'!AE$27=0,0,AD68+(AD73+AD58)/'План продаж'!AE$27*'План продаж'!AE29)</f>
        <v>395.14528837696338</v>
      </c>
      <c r="AE81" s="153">
        <f>IF('План продаж'!AF$27=0,0,AE68+(AE73+AE58)/'План продаж'!AF$27*'План продаж'!AF29)</f>
        <v>385.5502957303371</v>
      </c>
      <c r="AF81" s="153">
        <f>IF('План продаж'!AG$27=0,0,AF68+(AF73+AF58)/'План продаж'!AG$27*'План продаж'!AG29)</f>
        <v>395.14528837696332</v>
      </c>
      <c r="AG81" s="153">
        <f>IF('План продаж'!AH$27=0,0,AG68+(AG73+AG58)/'План продаж'!AH$27*'План продаж'!AH29)</f>
        <v>370.34163518672199</v>
      </c>
      <c r="AH81" s="153">
        <f>IF('План продаж'!AI$27=0,0,AH68+(AH73+AH58)/'План продаж'!AI$27*'План продаж'!AI29)</f>
        <v>370.34163518672199</v>
      </c>
      <c r="AI81" s="153">
        <f>IF('План продаж'!AJ$27=0,0,AI68+(AI73+AI58)/'План продаж'!AJ$27*'План продаж'!AJ29)</f>
        <v>370.34163518672199</v>
      </c>
      <c r="AJ81" s="153">
        <f>IF('План продаж'!AK$27=0,0,AJ68+(AJ73+AJ58)/'План продаж'!AK$27*'План продаж'!AK29)</f>
        <v>370.34163518672199</v>
      </c>
      <c r="AK81" s="153">
        <f>IF('План продаж'!AL$27=0,0,AK68+(AK73+AK58)/'План продаж'!AL$27*'План продаж'!AL29)</f>
        <v>370.34163518672199</v>
      </c>
      <c r="AL81" s="153">
        <f>IF('План продаж'!AM$27=0,0,AL68+(AL73+AL58)/'План продаж'!AM$27*'План продаж'!AM29)</f>
        <v>385.55029573033704</v>
      </c>
      <c r="AM81" s="153">
        <f>IF('План продаж'!AN$27=0,0,AM68+(AM73+AM58)/'План продаж'!AN$27*'План продаж'!AN29)</f>
        <v>395.14528837696332</v>
      </c>
      <c r="AN81" s="153">
        <f>IF('План продаж'!AO$27=0,0,AN68+(AN73+AN58)/'План продаж'!AO$27*'План продаж'!AO29)</f>
        <v>370.34163518672199</v>
      </c>
      <c r="AO81" s="153">
        <f>IF('План продаж'!AP$27=0,0,AO68+(AO73+AO58)/'План продаж'!AP$27*'План продаж'!AP29)</f>
        <v>400.97230755955059</v>
      </c>
      <c r="AP81" s="153">
        <f>IF('План продаж'!AQ$27=0,0,AP68+(AP73+AP58)/'План продаж'!AQ$27*'План продаж'!AQ29)</f>
        <v>410.95109991204191</v>
      </c>
      <c r="AQ81" s="153">
        <f>IF('План продаж'!AR$27=0,0,AQ68+(AQ73+AQ58)/'План продаж'!AR$27*'План продаж'!AR29)</f>
        <v>400.97230755955059</v>
      </c>
      <c r="AR81" s="153">
        <f>IF('План продаж'!AS$27=0,0,AR68+(AR73+AR58)/'План продаж'!AS$27*'План продаж'!AS29)</f>
        <v>410.95109991204197</v>
      </c>
      <c r="AS81" s="153">
        <f>IF('План продаж'!AT$27=0,0,AS68+(AS73+AS58)/'План продаж'!AT$27*'План продаж'!AT29)</f>
        <v>385.15530059419086</v>
      </c>
      <c r="AT81" s="153">
        <f>IF('План продаж'!AU$27=0,0,AT68+(AT73+AT58)/'План продаж'!AU$27*'План продаж'!AU29)</f>
        <v>385.15530059419092</v>
      </c>
      <c r="AU81" s="153">
        <f>IF('План продаж'!AV$27=0,0,AU68+(AU73+AU58)/'План продаж'!AV$27*'План продаж'!AV29)</f>
        <v>385.15530059419092</v>
      </c>
      <c r="AV81" s="153">
        <f>IF('План продаж'!AW$27=0,0,AV68+(AV73+AV58)/'План продаж'!AW$27*'План продаж'!AW29)</f>
        <v>385.15530059419092</v>
      </c>
      <c r="AW81" s="153">
        <f>IF('План продаж'!AX$27=0,0,AW68+(AW73+AW58)/'План продаж'!AX$27*'План продаж'!AX29)</f>
        <v>385.15530059419086</v>
      </c>
      <c r="AX81" s="153">
        <f>IF('План продаж'!AY$27=0,0,AX68+(AX73+AX58)/'План продаж'!AY$27*'План продаж'!AY29)</f>
        <v>400.97230755955059</v>
      </c>
      <c r="AY81" s="153">
        <f>IF('План продаж'!AZ$27=0,0,AY68+(AY73+AY58)/'План продаж'!AZ$27*'План продаж'!AZ29)</f>
        <v>410.95109991204197</v>
      </c>
      <c r="AZ81" s="153">
        <f>IF('План продаж'!BA$27=0,0,AZ68+(AZ73+AZ58)/'План продаж'!BA$27*'План продаж'!BA29)</f>
        <v>385.15530059419092</v>
      </c>
      <c r="BA81" s="153">
        <f>IF('План продаж'!BB$27=0,0,BA68+(BA73+BA58)/'План продаж'!BB$27*'План продаж'!BB29)</f>
        <v>417.01119986193265</v>
      </c>
      <c r="BB81" s="153">
        <f>IF('План продаж'!BC$27=0,0,BB68+(BB73+BB58)/'План продаж'!BC$27*'План продаж'!BC29)</f>
        <v>427.38914390852364</v>
      </c>
      <c r="BC81" s="153">
        <f>IF('План продаж'!BD$27=0,0,BC68+(BC73+BC58)/'План продаж'!BD$27*'План продаж'!BD29)</f>
        <v>417.01119986193265</v>
      </c>
      <c r="BD81" s="153">
        <f>IF('План продаж'!BE$27=0,0,BD68+(BD73+BD58)/'План продаж'!BE$27*'План продаж'!BE29)</f>
        <v>427.38914390852369</v>
      </c>
      <c r="BE81" s="153">
        <f>IF('План продаж'!BF$27=0,0,BE68+(BE73+BE58)/'План продаж'!BF$27*'План продаж'!BF29)</f>
        <v>400.56151261795861</v>
      </c>
      <c r="BF81" s="153">
        <f>IF('План продаж'!BG$27=0,0,BF68+(BF73+BF58)/'План продаж'!BG$27*'План продаж'!BG29)</f>
        <v>400.56151261795861</v>
      </c>
      <c r="BG81" s="153">
        <f>IF('План продаж'!BH$27=0,0,BG68+(BG73+BG58)/'План продаж'!BH$27*'План продаж'!BH29)</f>
        <v>400.56151261795856</v>
      </c>
      <c r="BH81" s="153">
        <f>IF('План продаж'!BI$27=0,0,BH68+(BH73+BH58)/'План продаж'!BI$27*'План продаж'!BI29)</f>
        <v>400.56151261795861</v>
      </c>
      <c r="BI81" s="153">
        <f>IF('План продаж'!BJ$27=0,0,BI68+(BI73+BI58)/'План продаж'!BJ$27*'План продаж'!BJ29)</f>
        <v>400.56151261795856</v>
      </c>
      <c r="BJ81" s="153">
        <f>IF('План продаж'!BK$27=0,0,BJ68+(BJ73+BJ58)/'План продаж'!BK$27*'План продаж'!BK29)</f>
        <v>417.01119986193271</v>
      </c>
      <c r="BK81" s="153">
        <f>IF('План продаж'!BL$27=0,0,BK68+(BK73+BK58)/'План продаж'!BL$27*'План продаж'!BL29)</f>
        <v>427.38914390852369</v>
      </c>
      <c r="BL81" s="153">
        <f>IF('План продаж'!BM$27=0,0,BL68+(BL73+BL58)/'План продаж'!BM$27*'План продаж'!BM29)</f>
        <v>400.56151261795856</v>
      </c>
      <c r="BM81" s="153">
        <f>IF('План продаж'!BN$27=0,0,BM68+(BM73+BM58)/'План продаж'!BN$27*'План продаж'!BN29)</f>
        <v>433.69164785640999</v>
      </c>
      <c r="BN81" s="153">
        <f>IF('План продаж'!BO$27=0,0,BN68+(BN73+BN58)/'План продаж'!BO$27*'План продаж'!BO29)</f>
        <v>444.48470966486457</v>
      </c>
      <c r="BO81" s="153">
        <f>IF('План продаж'!BP$27=0,0,BO68+(BO73+BO58)/'План продаж'!BP$27*'План продаж'!BP29)</f>
        <v>433.69164785640999</v>
      </c>
      <c r="BP81" s="153">
        <f>IF('План продаж'!BQ$27=0,0,BP68+(BP73+BP58)/'План продаж'!BQ$27*'План продаж'!BQ29)</f>
        <v>444.48470966486457</v>
      </c>
      <c r="BQ81" s="153">
        <f>IF('План продаж'!BR$27=0,0,BQ68+(BQ73+BQ58)/'План продаж'!BR$27*'План продаж'!BR29)</f>
        <v>416.58397312267698</v>
      </c>
      <c r="BR81" s="153">
        <f>IF('План продаж'!BS$27=0,0,BR68+(BR73+BR58)/'План продаж'!BS$27*'План продаж'!BS29)</f>
        <v>416.58397312267692</v>
      </c>
      <c r="BS81" s="153">
        <f>IF('План продаж'!BT$27=0,0,BS68+(BS73+BS58)/'План продаж'!BT$27*'План продаж'!BT29)</f>
        <v>416.58397312267692</v>
      </c>
      <c r="BT81" s="153">
        <f>IF('План продаж'!BU$27=0,0,BT68+(BT73+BT58)/'План продаж'!BU$27*'План продаж'!BU29)</f>
        <v>416.58397312267692</v>
      </c>
      <c r="BU81" s="153">
        <f>IF('План продаж'!BV$27=0,0,BU68+(BU73+BU58)/'План продаж'!BV$27*'План продаж'!BV29)</f>
        <v>416.58397312267692</v>
      </c>
      <c r="BV81" s="153">
        <f>IF('План продаж'!BW$27=0,0,BV68+(BV73+BV58)/'План продаж'!BW$27*'План продаж'!BW29)</f>
        <v>433.69164785640999</v>
      </c>
      <c r="BW81" s="153">
        <f>IF('План продаж'!BX$27=0,0,BW68+(BW73+BW58)/'План продаж'!BX$27*'План продаж'!BX29)</f>
        <v>444.48470966486457</v>
      </c>
      <c r="BX81" s="153">
        <f>IF('План продаж'!BY$27=0,0,BX68+(BX73+BX58)/'План продаж'!BY$27*'План продаж'!BY29)</f>
        <v>416.58397312267692</v>
      </c>
    </row>
    <row r="82" spans="1:76" s="30" customFormat="1" ht="12.75" customHeight="1" x14ac:dyDescent="0.25">
      <c r="A82" s="152" t="str">
        <f>'План продаж'!A16</f>
        <v>Банный комплекс</v>
      </c>
      <c r="B82" s="153">
        <f>IF('План продаж'!C$27=0,0,(B73+B58)/'План продаж'!C$27*'План продаж'!C30)</f>
        <v>0</v>
      </c>
      <c r="C82" s="153">
        <f>IF('План продаж'!D$27=0,0,(C73+C58)/'План продаж'!D$27*'План продаж'!D30)</f>
        <v>0</v>
      </c>
      <c r="D82" s="153">
        <f>IF('План продаж'!E$27=0,0,(D73+D58)/'План продаж'!E$27*'План продаж'!E30)</f>
        <v>0</v>
      </c>
      <c r="E82" s="153">
        <f>IF('План продаж'!F$27=0,0,(E73+E58)/'План продаж'!F$27*'План продаж'!F30)</f>
        <v>0</v>
      </c>
      <c r="F82" s="153">
        <f>IF('План продаж'!G$27=0,0,(F73+F58)/'План продаж'!G$27*'План продаж'!G30)</f>
        <v>0</v>
      </c>
      <c r="G82" s="153">
        <f>IF('План продаж'!H$27=0,0,(G73+G58)/'План продаж'!H$27*'План продаж'!H30)</f>
        <v>0</v>
      </c>
      <c r="H82" s="153">
        <f>IF('План продаж'!I$27=0,0,(H73+H58)/'План продаж'!I$27*'План продаж'!I30)</f>
        <v>0</v>
      </c>
      <c r="I82" s="153">
        <f>IF('План продаж'!J$27=0,0,(I73+I58)/'План продаж'!J$27*'План продаж'!J30)</f>
        <v>0</v>
      </c>
      <c r="J82" s="153">
        <f>IF('План продаж'!K$27=0,0,(J73+J58)/'План продаж'!K$27*'План продаж'!K30)</f>
        <v>0</v>
      </c>
      <c r="K82" s="153">
        <f>IF('План продаж'!L$27=0,0,(K73+K58)/'План продаж'!L$27*'План продаж'!L30)</f>
        <v>23.374827109266946</v>
      </c>
      <c r="L82" s="153">
        <f>IF('План продаж'!M$27=0,0,(L73+L58)/'План продаж'!M$27*'План продаж'!M30)</f>
        <v>31.286307053941908</v>
      </c>
      <c r="M82" s="153">
        <f>IF('План продаж'!N$27=0,0,(M73+M58)/'План продаж'!N$27*'План продаж'!N30)</f>
        <v>31.286307053941904</v>
      </c>
      <c r="N82" s="153">
        <f>IF('План продаж'!O$27=0,0,(N73+N58)/'План продаж'!O$27*'План продаж'!O30)</f>
        <v>36.308186195826643</v>
      </c>
      <c r="O82" s="153">
        <f>IF('План продаж'!P$27=0,0,(O73+O58)/'План продаж'!P$27*'План продаж'!P30)</f>
        <v>39.47643979057591</v>
      </c>
      <c r="P82" s="153">
        <f>IF('План продаж'!Q$27=0,0,(P73+P58)/'План продаж'!Q$27*'План продаж'!Q30)</f>
        <v>31.286307053941908</v>
      </c>
      <c r="Q82" s="153">
        <f>IF('План продаж'!R$27=0,0,(Q73+Q58)/'План продаж'!R$27*'План продаж'!R30)</f>
        <v>37.760513643659721</v>
      </c>
      <c r="R82" s="153">
        <f>IF('План продаж'!S$27=0,0,(R73+R58)/'План продаж'!S$27*'План продаж'!S30)</f>
        <v>41.055497382198951</v>
      </c>
      <c r="S82" s="153">
        <f>IF('План продаж'!T$27=0,0,(S73+S58)/'План продаж'!T$27*'План продаж'!T30)</f>
        <v>37.760513643659714</v>
      </c>
      <c r="T82" s="153">
        <f>IF('План продаж'!U$27=0,0,(T73+T58)/'План продаж'!U$27*'План продаж'!U30)</f>
        <v>41.055497382198951</v>
      </c>
      <c r="U82" s="153">
        <f>IF('План продаж'!V$27=0,0,(U73+U58)/'План продаж'!V$27*'План продаж'!V30)</f>
        <v>32.53775933609959</v>
      </c>
      <c r="V82" s="153">
        <f>IF('План продаж'!W$27=0,0,(V73+V58)/'План продаж'!W$27*'План продаж'!W30)</f>
        <v>32.53775933609959</v>
      </c>
      <c r="W82" s="153">
        <f>IF('План продаж'!X$27=0,0,(W73+W58)/'План продаж'!X$27*'План продаж'!X30)</f>
        <v>32.537759336099583</v>
      </c>
      <c r="X82" s="153">
        <f>IF('План продаж'!Y$27=0,0,(X73+X58)/'План продаж'!Y$27*'План продаж'!Y30)</f>
        <v>32.53775933609959</v>
      </c>
      <c r="Y82" s="153">
        <f>IF('План продаж'!Z$27=0,0,(Y73+Y58)/'План продаж'!Z$27*'План продаж'!Z30)</f>
        <v>32.537759336099583</v>
      </c>
      <c r="Z82" s="153">
        <f>IF('План продаж'!AA$27=0,0,(Z73+Z58)/'План продаж'!AA$27*'План продаж'!AA30)</f>
        <v>37.760513643659714</v>
      </c>
      <c r="AA82" s="153">
        <f>IF('План продаж'!AB$27=0,0,(AA73+AA58)/'План продаж'!AB$27*'План продаж'!AB30)</f>
        <v>41.055497382198965</v>
      </c>
      <c r="AB82" s="153">
        <f>IF('План продаж'!AC$27=0,0,(AB73+AB58)/'План продаж'!AC$27*'План продаж'!AC30)</f>
        <v>32.53775933609959</v>
      </c>
      <c r="AC82" s="153">
        <f>IF('План продаж'!AD$27=0,0,(AC73+AC58)/'План продаж'!AD$27*'План продаж'!AD30)</f>
        <v>39.270934189406105</v>
      </c>
      <c r="AD82" s="153">
        <f>IF('План продаж'!AE$27=0,0,(AD73+AD58)/'План продаж'!AE$27*'План продаж'!AE30)</f>
        <v>42.697717277486923</v>
      </c>
      <c r="AE82" s="153">
        <f>IF('План продаж'!AF$27=0,0,(AE73+AE58)/'План продаж'!AF$27*'План продаж'!AF30)</f>
        <v>39.270934189406105</v>
      </c>
      <c r="AF82" s="153">
        <f>IF('План продаж'!AG$27=0,0,(AF73+AF58)/'План продаж'!AG$27*'План продаж'!AG30)</f>
        <v>42.697717277486916</v>
      </c>
      <c r="AG82" s="153">
        <f>IF('План продаж'!AH$27=0,0,(AG73+AG58)/'План продаж'!AH$27*'План продаж'!AH30)</f>
        <v>33.839269709543565</v>
      </c>
      <c r="AH82" s="153">
        <f>IF('План продаж'!AI$27=0,0,(AH73+AH58)/'План продаж'!AI$27*'План продаж'!AI30)</f>
        <v>33.839269709543558</v>
      </c>
      <c r="AI82" s="153">
        <f>IF('План продаж'!AJ$27=0,0,(AI73+AI58)/'План продаж'!AJ$27*'План продаж'!AJ30)</f>
        <v>33.839269709543565</v>
      </c>
      <c r="AJ82" s="153">
        <f>IF('План продаж'!AK$27=0,0,(AJ73+AJ58)/'План продаж'!AK$27*'План продаж'!AK30)</f>
        <v>33.839269709543565</v>
      </c>
      <c r="AK82" s="153">
        <f>IF('План продаж'!AL$27=0,0,(AK73+AK58)/'План продаж'!AL$27*'План продаж'!AL30)</f>
        <v>33.839269709543572</v>
      </c>
      <c r="AL82" s="153">
        <f>IF('План продаж'!AM$27=0,0,(AL73+AL58)/'План продаж'!AM$27*'План продаж'!AM30)</f>
        <v>39.270934189406098</v>
      </c>
      <c r="AM82" s="153">
        <f>IF('План продаж'!AN$27=0,0,(AM73+AM58)/'План продаж'!AN$27*'План продаж'!AN30)</f>
        <v>42.697717277486916</v>
      </c>
      <c r="AN82" s="153">
        <f>IF('План продаж'!AO$27=0,0,(AN73+AN58)/'План продаж'!AO$27*'План продаж'!AO30)</f>
        <v>33.839269709543572</v>
      </c>
      <c r="AO82" s="153">
        <f>IF('План продаж'!AP$27=0,0,(AO73+AO58)/'План продаж'!AP$27*'План продаж'!AP30)</f>
        <v>40.841771556982351</v>
      </c>
      <c r="AP82" s="153">
        <f>IF('План продаж'!AQ$27=0,0,(AP73+AP58)/'План продаж'!AQ$27*'План продаж'!AQ30)</f>
        <v>44.405625968586385</v>
      </c>
      <c r="AQ82" s="153">
        <f>IF('План продаж'!AR$27=0,0,(AQ73+AQ58)/'План продаж'!AR$27*'План продаж'!AR30)</f>
        <v>40.841771556982351</v>
      </c>
      <c r="AR82" s="153">
        <f>IF('План продаж'!AS$27=0,0,(AR73+AR58)/'План продаж'!AS$27*'План продаж'!AS30)</f>
        <v>44.405625968586399</v>
      </c>
      <c r="AS82" s="153">
        <f>IF('План продаж'!AT$27=0,0,(AS73+AS58)/'План продаж'!AT$27*'План продаж'!AT30)</f>
        <v>35.19284049792531</v>
      </c>
      <c r="AT82" s="153">
        <f>IF('План продаж'!AU$27=0,0,(AT73+AT58)/'План продаж'!AU$27*'План продаж'!AU30)</f>
        <v>35.19284049792531</v>
      </c>
      <c r="AU82" s="153">
        <f>IF('План продаж'!AV$27=0,0,(AU73+AU58)/'План продаж'!AV$27*'План продаж'!AV30)</f>
        <v>35.19284049792531</v>
      </c>
      <c r="AV82" s="153">
        <f>IF('План продаж'!AW$27=0,0,(AV73+AV58)/'План продаж'!AW$27*'План продаж'!AW30)</f>
        <v>35.19284049792531</v>
      </c>
      <c r="AW82" s="153">
        <f>IF('План продаж'!AX$27=0,0,(AW73+AW58)/'План продаж'!AX$27*'План продаж'!AX30)</f>
        <v>35.19284049792531</v>
      </c>
      <c r="AX82" s="153">
        <f>IF('План продаж'!AY$27=0,0,(AX73+AX58)/'План продаж'!AY$27*'План продаж'!AY30)</f>
        <v>40.841771556982344</v>
      </c>
      <c r="AY82" s="153">
        <f>IF('План продаж'!AZ$27=0,0,(AY73+AY58)/'План продаж'!AZ$27*'План продаж'!AZ30)</f>
        <v>44.405625968586399</v>
      </c>
      <c r="AZ82" s="153">
        <f>IF('План продаж'!BA$27=0,0,(AZ73+AZ58)/'План продаж'!BA$27*'План продаж'!BA30)</f>
        <v>35.192840497925324</v>
      </c>
      <c r="BA82" s="153">
        <f>IF('План продаж'!BB$27=0,0,(BA73+BA58)/'План продаж'!BB$27*'План продаж'!BB30)</f>
        <v>42.475442419261647</v>
      </c>
      <c r="BB82" s="153">
        <f>IF('План продаж'!BC$27=0,0,(BB73+BB58)/'План продаж'!BC$27*'План продаж'!BC30)</f>
        <v>46.181851007329854</v>
      </c>
      <c r="BC82" s="153">
        <f>IF('План продаж'!BD$27=0,0,(BC73+BC58)/'План продаж'!BD$27*'План продаж'!BD30)</f>
        <v>42.475442419261647</v>
      </c>
      <c r="BD82" s="153">
        <f>IF('План продаж'!BE$27=0,0,(BD73+BD58)/'План продаж'!BE$27*'План продаж'!BE30)</f>
        <v>46.181851007329868</v>
      </c>
      <c r="BE82" s="153">
        <f>IF('План продаж'!BF$27=0,0,(BE73+BE58)/'План продаж'!BF$27*'План продаж'!BF30)</f>
        <v>36.600554117842336</v>
      </c>
      <c r="BF82" s="153">
        <f>IF('План продаж'!BG$27=0,0,(BF73+BF58)/'План продаж'!BG$27*'План продаж'!BG30)</f>
        <v>36.600554117842343</v>
      </c>
      <c r="BG82" s="153">
        <f>IF('План продаж'!BH$27=0,0,(BG73+BG58)/'План продаж'!BH$27*'План продаж'!BH30)</f>
        <v>36.600554117842336</v>
      </c>
      <c r="BH82" s="153">
        <f>IF('План продаж'!BI$27=0,0,(BH73+BH58)/'План продаж'!BI$27*'План продаж'!BI30)</f>
        <v>36.600554117842336</v>
      </c>
      <c r="BI82" s="153">
        <f>IF('План продаж'!BJ$27=0,0,(BI73+BI58)/'План продаж'!BJ$27*'План продаж'!BJ30)</f>
        <v>36.600554117842329</v>
      </c>
      <c r="BJ82" s="153">
        <f>IF('План продаж'!BK$27=0,0,(BJ73+BJ58)/'План продаж'!BK$27*'План продаж'!BK30)</f>
        <v>42.475442419261654</v>
      </c>
      <c r="BK82" s="153">
        <f>IF('План продаж'!BL$27=0,0,(BK73+BK58)/'План продаж'!BL$27*'План продаж'!BL30)</f>
        <v>46.181851007329868</v>
      </c>
      <c r="BL82" s="153">
        <f>IF('План продаж'!BM$27=0,0,(BL73+BL58)/'План продаж'!BM$27*'План продаж'!BM30)</f>
        <v>36.600554117842343</v>
      </c>
      <c r="BM82" s="153">
        <f>IF('План продаж'!BN$27=0,0,(BM73+BM58)/'План продаж'!BN$27*'План продаж'!BN30)</f>
        <v>44.174460116032115</v>
      </c>
      <c r="BN82" s="153">
        <f>IF('План продаж'!BO$27=0,0,(BN73+BN58)/'План продаж'!BO$27*'План продаж'!BO30)</f>
        <v>48.029125047623054</v>
      </c>
      <c r="BO82" s="153">
        <f>IF('План продаж'!BP$27=0,0,(BO73+BO58)/'План продаж'!BP$27*'План продаж'!BP30)</f>
        <v>44.174460116032115</v>
      </c>
      <c r="BP82" s="153">
        <f>IF('План продаж'!BQ$27=0,0,(BP73+BP58)/'План продаж'!BQ$27*'План продаж'!BQ30)</f>
        <v>48.029125047623054</v>
      </c>
      <c r="BQ82" s="153">
        <f>IF('План продаж'!BR$27=0,0,(BQ73+BQ58)/'План продаж'!BR$27*'План продаж'!BR30)</f>
        <v>38.064576282556047</v>
      </c>
      <c r="BR82" s="153">
        <f>IF('План продаж'!BS$27=0,0,(BR73+BR58)/'План продаж'!BS$27*'План продаж'!BS30)</f>
        <v>38.064576282556033</v>
      </c>
      <c r="BS82" s="153">
        <f>IF('План продаж'!BT$27=0,0,(BS73+BS58)/'План продаж'!BT$27*'План продаж'!BT30)</f>
        <v>38.064576282556025</v>
      </c>
      <c r="BT82" s="153">
        <f>IF('План продаж'!BU$27=0,0,(BT73+BT58)/'План продаж'!BU$27*'План продаж'!BU30)</f>
        <v>38.064576282556018</v>
      </c>
      <c r="BU82" s="153">
        <f>IF('План продаж'!BV$27=0,0,(BU73+BU58)/'План продаж'!BV$27*'План продаж'!BV30)</f>
        <v>38.064576282556033</v>
      </c>
      <c r="BV82" s="153">
        <f>IF('План продаж'!BW$27=0,0,(BV73+BV58)/'План продаж'!BW$27*'План продаж'!BW30)</f>
        <v>44.174460116032122</v>
      </c>
      <c r="BW82" s="153">
        <f>IF('План продаж'!BX$27=0,0,(BW73+BW58)/'План продаж'!BX$27*'План продаж'!BX30)</f>
        <v>48.029125047623054</v>
      </c>
      <c r="BX82" s="153">
        <f>IF('План продаж'!BY$27=0,0,(BX73+BX58)/'План продаж'!BY$27*'План продаж'!BY30)</f>
        <v>38.064576282556033</v>
      </c>
    </row>
    <row r="83" spans="1:76" s="30" customFormat="1" ht="12.75" customHeight="1" x14ac:dyDescent="0.25">
      <c r="A83" s="152" t="str">
        <f>'План продаж'!A17</f>
        <v>Прокат спортивного инвентаря</v>
      </c>
      <c r="B83" s="153">
        <f>IF('План продаж'!C$27=0,0,(B73+B58)/'План продаж'!C$27*'План продаж'!C31)</f>
        <v>0</v>
      </c>
      <c r="C83" s="153">
        <f>IF('План продаж'!D$27=0,0,(C73+C58)/'План продаж'!D$27*'План продаж'!D31)</f>
        <v>0</v>
      </c>
      <c r="D83" s="153">
        <f>IF('План продаж'!E$27=0,0,(D73+D58)/'План продаж'!E$27*'План продаж'!E31)</f>
        <v>0</v>
      </c>
      <c r="E83" s="153">
        <f>IF('План продаж'!F$27=0,0,(E73+E58)/'План продаж'!F$27*'План продаж'!F31)</f>
        <v>0</v>
      </c>
      <c r="F83" s="153">
        <f>IF('План продаж'!G$27=0,0,(F73+F58)/'План продаж'!G$27*'План продаж'!G31)</f>
        <v>0</v>
      </c>
      <c r="G83" s="153">
        <f>IF('План продаж'!H$27=0,0,(G73+G58)/'План продаж'!H$27*'План продаж'!H31)</f>
        <v>0</v>
      </c>
      <c r="H83" s="153">
        <f>IF('План продаж'!I$27=0,0,(H73+H58)/'План продаж'!I$27*'План продаж'!I31)</f>
        <v>0</v>
      </c>
      <c r="I83" s="153">
        <f>IF('План продаж'!J$27=0,0,(I73+I58)/'План продаж'!J$27*'План продаж'!J31)</f>
        <v>0</v>
      </c>
      <c r="J83" s="153">
        <f>IF('План продаж'!K$27=0,0,(J73+J58)/'План продаж'!K$27*'План продаж'!K31)</f>
        <v>0</v>
      </c>
      <c r="K83" s="153">
        <f>IF('План продаж'!L$27=0,0,(K73+K58)/'План продаж'!L$27*'План продаж'!L31)</f>
        <v>3.739972337482711</v>
      </c>
      <c r="L83" s="153">
        <f>IF('План продаж'!M$27=0,0,(L73+L58)/'План продаж'!M$27*'План продаж'!M31)</f>
        <v>5.0058091286307045</v>
      </c>
      <c r="M83" s="153">
        <f>IF('План продаж'!N$27=0,0,(M73+M58)/'План продаж'!N$27*'План продаж'!N31)</f>
        <v>5.0058091286307054</v>
      </c>
      <c r="N83" s="153">
        <f>IF('План продаж'!O$27=0,0,(N73+N58)/'План продаж'!O$27*'План продаж'!O31)</f>
        <v>5.8093097913322627</v>
      </c>
      <c r="O83" s="153">
        <f>IF('План продаж'!P$27=0,0,(O73+O58)/'План продаж'!P$27*'План продаж'!P31)</f>
        <v>6.3162303664921478</v>
      </c>
      <c r="P83" s="153">
        <f>IF('План продаж'!Q$27=0,0,(P73+P58)/'План продаж'!Q$27*'План продаж'!Q31)</f>
        <v>5.0058091286307045</v>
      </c>
      <c r="Q83" s="153">
        <f>IF('План продаж'!R$27=0,0,(Q73+Q58)/'План продаж'!R$27*'План продаж'!R31)</f>
        <v>6.0416821829855563</v>
      </c>
      <c r="R83" s="153">
        <f>IF('План продаж'!S$27=0,0,(R73+R58)/'План продаж'!S$27*'План продаж'!S31)</f>
        <v>6.5688795811518332</v>
      </c>
      <c r="S83" s="153">
        <f>IF('План продаж'!T$27=0,0,(S73+S58)/'План продаж'!T$27*'План продаж'!T31)</f>
        <v>6.0416821829855545</v>
      </c>
      <c r="T83" s="153">
        <f>IF('План продаж'!U$27=0,0,(T73+T58)/'План продаж'!U$27*'План продаж'!U31)</f>
        <v>6.5688795811518332</v>
      </c>
      <c r="U83" s="153">
        <f>IF('План продаж'!V$27=0,0,(U73+U58)/'План продаж'!V$27*'План продаж'!V31)</f>
        <v>5.2060414937759338</v>
      </c>
      <c r="V83" s="153">
        <f>IF('План продаж'!W$27=0,0,(V73+V58)/'План продаж'!W$27*'План продаж'!W31)</f>
        <v>5.2060414937759338</v>
      </c>
      <c r="W83" s="153">
        <f>IF('План продаж'!X$27=0,0,(W73+W58)/'План продаж'!X$27*'План продаж'!X31)</f>
        <v>5.2060414937759329</v>
      </c>
      <c r="X83" s="153">
        <f>IF('План продаж'!Y$27=0,0,(X73+X58)/'План продаж'!Y$27*'План продаж'!Y31)</f>
        <v>5.2060414937759347</v>
      </c>
      <c r="Y83" s="153">
        <f>IF('План продаж'!Z$27=0,0,(Y73+Y58)/'План продаж'!Z$27*'План продаж'!Z31)</f>
        <v>5.2060414937759338</v>
      </c>
      <c r="Z83" s="153">
        <f>IF('План продаж'!AA$27=0,0,(Z73+Z58)/'План продаж'!AA$27*'План продаж'!AA31)</f>
        <v>6.0416821829855545</v>
      </c>
      <c r="AA83" s="153">
        <f>IF('План продаж'!AB$27=0,0,(AA73+AA58)/'План продаж'!AB$27*'План продаж'!AB31)</f>
        <v>6.5688795811518332</v>
      </c>
      <c r="AB83" s="153">
        <f>IF('План продаж'!AC$27=0,0,(AB73+AB58)/'План продаж'!AC$27*'План продаж'!AC31)</f>
        <v>5.2060414937759338</v>
      </c>
      <c r="AC83" s="153">
        <f>IF('План продаж'!AD$27=0,0,(AC73+AC58)/'План продаж'!AD$27*'План продаж'!AD31)</f>
        <v>6.2833494703049775</v>
      </c>
      <c r="AD83" s="153">
        <f>IF('План продаж'!AE$27=0,0,(AD73+AD58)/'План продаж'!AE$27*'План продаж'!AE31)</f>
        <v>6.831634764397907</v>
      </c>
      <c r="AE83" s="153">
        <f>IF('План продаж'!AF$27=0,0,(AE73+AE58)/'План продаж'!AF$27*'План продаж'!AF31)</f>
        <v>6.2833494703049775</v>
      </c>
      <c r="AF83" s="153">
        <f>IF('План продаж'!AG$27=0,0,(AF73+AF58)/'План продаж'!AG$27*'План продаж'!AG31)</f>
        <v>6.8316347643979061</v>
      </c>
      <c r="AG83" s="153">
        <f>IF('План продаж'!AH$27=0,0,(AG73+AG58)/'План продаж'!AH$27*'План продаж'!AH31)</f>
        <v>5.4142831535269718</v>
      </c>
      <c r="AH83" s="153">
        <f>IF('План продаж'!AI$27=0,0,(AH73+AH58)/'План продаж'!AI$27*'План продаж'!AI31)</f>
        <v>5.41428315352697</v>
      </c>
      <c r="AI83" s="153">
        <f>IF('План продаж'!AJ$27=0,0,(AI73+AI58)/'План продаж'!AJ$27*'План продаж'!AJ31)</f>
        <v>5.41428315352697</v>
      </c>
      <c r="AJ83" s="153">
        <f>IF('План продаж'!AK$27=0,0,(AJ73+AJ58)/'План продаж'!AK$27*'План продаж'!AK31)</f>
        <v>5.4142831535269718</v>
      </c>
      <c r="AK83" s="153">
        <f>IF('План продаж'!AL$27=0,0,(AK73+AK58)/'План продаж'!AL$27*'План продаж'!AL31)</f>
        <v>5.4142831535269709</v>
      </c>
      <c r="AL83" s="153">
        <f>IF('План продаж'!AM$27=0,0,(AL73+AL58)/'План продаж'!AM$27*'План продаж'!AM31)</f>
        <v>6.2833494703049766</v>
      </c>
      <c r="AM83" s="153">
        <f>IF('План продаж'!AN$27=0,0,(AM73+AM58)/'План продаж'!AN$27*'План продаж'!AN31)</f>
        <v>6.8316347643979061</v>
      </c>
      <c r="AN83" s="153">
        <f>IF('План продаж'!AO$27=0,0,(AN73+AN58)/'План продаж'!AO$27*'План продаж'!AO31)</f>
        <v>5.41428315352697</v>
      </c>
      <c r="AO83" s="153">
        <f>IF('План продаж'!AP$27=0,0,(AO73+AO58)/'План продаж'!AP$27*'План продаж'!AP31)</f>
        <v>6.5346834491171775</v>
      </c>
      <c r="AP83" s="153">
        <f>IF('План продаж'!AQ$27=0,0,(AP73+AP58)/'План продаж'!AQ$27*'План продаж'!AQ31)</f>
        <v>7.1049001549738229</v>
      </c>
      <c r="AQ83" s="153">
        <f>IF('План продаж'!AR$27=0,0,(AQ73+AQ58)/'План продаж'!AR$27*'План продаж'!AR31)</f>
        <v>6.5346834491171775</v>
      </c>
      <c r="AR83" s="153">
        <f>IF('План продаж'!AS$27=0,0,(AR73+AR58)/'План продаж'!AS$27*'План продаж'!AS31)</f>
        <v>7.1049001549738247</v>
      </c>
      <c r="AS83" s="153">
        <f>IF('План продаж'!AT$27=0,0,(AS73+AS58)/'План продаж'!AT$27*'План продаж'!AT31)</f>
        <v>5.6308544796680513</v>
      </c>
      <c r="AT83" s="153">
        <f>IF('План продаж'!AU$27=0,0,(AT73+AT58)/'План продаж'!AU$27*'План продаж'!AU31)</f>
        <v>5.6308544796680504</v>
      </c>
      <c r="AU83" s="153">
        <f>IF('План продаж'!AV$27=0,0,(AU73+AU58)/'План продаж'!AV$27*'План продаж'!AV31)</f>
        <v>5.6308544796680504</v>
      </c>
      <c r="AV83" s="153">
        <f>IF('План продаж'!AW$27=0,0,(AV73+AV58)/'План продаж'!AW$27*'План продаж'!AW31)</f>
        <v>5.6308544796680504</v>
      </c>
      <c r="AW83" s="153">
        <f>IF('План продаж'!AX$27=0,0,(AW73+AW58)/'План продаж'!AX$27*'План продаж'!AX31)</f>
        <v>5.6308544796680513</v>
      </c>
      <c r="AX83" s="153">
        <f>IF('План продаж'!AY$27=0,0,(AX73+AX58)/'План продаж'!AY$27*'План продаж'!AY31)</f>
        <v>6.5346834491171757</v>
      </c>
      <c r="AY83" s="153">
        <f>IF('План продаж'!AZ$27=0,0,(AY73+AY58)/'План продаж'!AZ$27*'План продаж'!AZ31)</f>
        <v>7.1049001549738247</v>
      </c>
      <c r="AZ83" s="153">
        <f>IF('План продаж'!BA$27=0,0,(AZ73+AZ58)/'План продаж'!BA$27*'План продаж'!BA31)</f>
        <v>5.6308544796680522</v>
      </c>
      <c r="BA83" s="153">
        <f>IF('План продаж'!BB$27=0,0,(BA73+BA58)/'План продаж'!BB$27*'План продаж'!BB31)</f>
        <v>6.7960707870818649</v>
      </c>
      <c r="BB83" s="153">
        <f>IF('План продаж'!BC$27=0,0,(BB73+BB58)/'План продаж'!BC$27*'План продаж'!BC31)</f>
        <v>7.3890961611727777</v>
      </c>
      <c r="BC83" s="153">
        <f>IF('План продаж'!BD$27=0,0,(BC73+BC58)/'План продаж'!BD$27*'План продаж'!BD31)</f>
        <v>6.7960707870818649</v>
      </c>
      <c r="BD83" s="153">
        <f>IF('План продаж'!BE$27=0,0,(BD73+BD58)/'План продаж'!BE$27*'План продаж'!BE31)</f>
        <v>7.3890961611727786</v>
      </c>
      <c r="BE83" s="153">
        <f>IF('План продаж'!BF$27=0,0,(BE73+BE58)/'План продаж'!BF$27*'План продаж'!BF31)</f>
        <v>5.856088658854774</v>
      </c>
      <c r="BF83" s="153">
        <f>IF('План продаж'!BG$27=0,0,(BF73+BF58)/'План продаж'!BG$27*'План продаж'!BG31)</f>
        <v>5.8560886588547749</v>
      </c>
      <c r="BG83" s="153">
        <f>IF('План продаж'!BH$27=0,0,(BG73+BG58)/'План продаж'!BH$27*'План продаж'!BH31)</f>
        <v>5.8560886588547723</v>
      </c>
      <c r="BH83" s="153">
        <f>IF('План продаж'!BI$27=0,0,(BH73+BH58)/'План продаж'!BI$27*'План продаж'!BI31)</f>
        <v>5.8560886588547731</v>
      </c>
      <c r="BI83" s="153">
        <f>IF('План продаж'!BJ$27=0,0,(BI73+BI58)/'План продаж'!BJ$27*'План продаж'!BJ31)</f>
        <v>5.856088658854774</v>
      </c>
      <c r="BJ83" s="153">
        <f>IF('План продаж'!BK$27=0,0,(BJ73+BJ58)/'План продаж'!BK$27*'План продаж'!BK31)</f>
        <v>6.7960707870818649</v>
      </c>
      <c r="BK83" s="153">
        <f>IF('План продаж'!BL$27=0,0,(BK73+BK58)/'План продаж'!BL$27*'План продаж'!BL31)</f>
        <v>7.3890961611727786</v>
      </c>
      <c r="BL83" s="153">
        <f>IF('План продаж'!BM$27=0,0,(BL73+BL58)/'План продаж'!BM$27*'План продаж'!BM31)</f>
        <v>5.8560886588547731</v>
      </c>
      <c r="BM83" s="153">
        <f>IF('План продаж'!BN$27=0,0,(BM73+BM58)/'План продаж'!BN$27*'План продаж'!BN31)</f>
        <v>7.0679136185651403</v>
      </c>
      <c r="BN83" s="153">
        <f>IF('План продаж'!BO$27=0,0,(BN73+BN58)/'План продаж'!BO$27*'План продаж'!BO31)</f>
        <v>7.6846600076196889</v>
      </c>
      <c r="BO83" s="153">
        <f>IF('План продаж'!BP$27=0,0,(BO73+BO58)/'План продаж'!BP$27*'План продаж'!BP31)</f>
        <v>7.0679136185651403</v>
      </c>
      <c r="BP83" s="153">
        <f>IF('План продаж'!BQ$27=0,0,(BP73+BP58)/'План продаж'!BQ$27*'План продаж'!BQ31)</f>
        <v>7.6846600076196889</v>
      </c>
      <c r="BQ83" s="153">
        <f>IF('План продаж'!BR$27=0,0,(BQ73+BQ58)/'План продаж'!BR$27*'План продаж'!BR31)</f>
        <v>6.0903322052089663</v>
      </c>
      <c r="BR83" s="153">
        <f>IF('План продаж'!BS$27=0,0,(BR73+BR58)/'План продаж'!BS$27*'План продаж'!BS31)</f>
        <v>6.0903322052089646</v>
      </c>
      <c r="BS83" s="153">
        <f>IF('План продаж'!BT$27=0,0,(BS73+BS58)/'План продаж'!BT$27*'План продаж'!BT31)</f>
        <v>6.0903322052089637</v>
      </c>
      <c r="BT83" s="153">
        <f>IF('План продаж'!BU$27=0,0,(BT73+BT58)/'План продаж'!BU$27*'План продаж'!BU31)</f>
        <v>6.0903322052089646</v>
      </c>
      <c r="BU83" s="153">
        <f>IF('План продаж'!BV$27=0,0,(BU73+BU58)/'План продаж'!BV$27*'План продаж'!BV31)</f>
        <v>6.0903322052089646</v>
      </c>
      <c r="BV83" s="153">
        <f>IF('План продаж'!BW$27=0,0,(BV73+BV58)/'План продаж'!BW$27*'План продаж'!BW31)</f>
        <v>7.0679136185651403</v>
      </c>
      <c r="BW83" s="153">
        <f>IF('План продаж'!BX$27=0,0,(BW73+BW58)/'План продаж'!BX$27*'План продаж'!BX31)</f>
        <v>7.6846600076196889</v>
      </c>
      <c r="BX83" s="153">
        <f>IF('План продаж'!BY$27=0,0,(BX73+BX58)/'План продаж'!BY$27*'План продаж'!BY31)</f>
        <v>6.0903322052089646</v>
      </c>
    </row>
    <row r="84" spans="1:76" s="30" customFormat="1" ht="12.75" customHeight="1" x14ac:dyDescent="0.25">
      <c r="A84" s="152" t="str">
        <f>'План продаж'!A18</f>
        <v>Барбекю-парк</v>
      </c>
      <c r="B84" s="153">
        <f>IF('План продаж'!C$27=0,0,(B73+B58)/'План продаж'!C$27*'План продаж'!C32)</f>
        <v>0</v>
      </c>
      <c r="C84" s="153">
        <f>IF('План продаж'!D$27=0,0,(C73+C58)/'План продаж'!D$27*'План продаж'!D32)</f>
        <v>0</v>
      </c>
      <c r="D84" s="153">
        <f>IF('План продаж'!E$27=0,0,(D73+D58)/'План продаж'!E$27*'План продаж'!E32)</f>
        <v>0</v>
      </c>
      <c r="E84" s="153">
        <f>IF('План продаж'!F$27=0,0,(E73+E58)/'План продаж'!F$27*'План продаж'!F32)</f>
        <v>0</v>
      </c>
      <c r="F84" s="153">
        <f>IF('План продаж'!G$27=0,0,(F73+F58)/'План продаж'!G$27*'План продаж'!G32)</f>
        <v>0</v>
      </c>
      <c r="G84" s="153">
        <f>IF('План продаж'!H$27=0,0,(G73+G58)/'План продаж'!H$27*'План продаж'!H32)</f>
        <v>0</v>
      </c>
      <c r="H84" s="153">
        <f>IF('План продаж'!I$27=0,0,(H73+H58)/'План продаж'!I$27*'План продаж'!I32)</f>
        <v>0</v>
      </c>
      <c r="I84" s="153">
        <f>IF('План продаж'!J$27=0,0,(I73+I58)/'План продаж'!J$27*'План продаж'!J32)</f>
        <v>0</v>
      </c>
      <c r="J84" s="153">
        <f>IF('План продаж'!K$27=0,0,(J73+J58)/'План продаж'!K$27*'План продаж'!K32)</f>
        <v>0</v>
      </c>
      <c r="K84" s="153">
        <f>IF('План продаж'!L$27=0,0,(K73+K58)/'План продаж'!L$27*'План продаж'!L32)</f>
        <v>11.687413554633473</v>
      </c>
      <c r="L84" s="153">
        <f>IF('План продаж'!M$27=0,0,(L73+L58)/'План продаж'!M$27*'План продаж'!M32)</f>
        <v>15.643153526970954</v>
      </c>
      <c r="M84" s="153">
        <f>IF('План продаж'!N$27=0,0,(M73+M58)/'План продаж'!N$27*'План продаж'!N32)</f>
        <v>15.643153526970949</v>
      </c>
      <c r="N84" s="153">
        <f>IF('План продаж'!O$27=0,0,(N73+N58)/'План продаж'!O$27*'План продаж'!O32)</f>
        <v>18.154093097913325</v>
      </c>
      <c r="O84" s="153">
        <f>IF('План продаж'!P$27=0,0,(O73+O58)/'План продаж'!P$27*'План продаж'!P32)</f>
        <v>19.738219895287958</v>
      </c>
      <c r="P84" s="153">
        <f>IF('План продаж'!Q$27=0,0,(P73+P58)/'План продаж'!Q$27*'План продаж'!Q32)</f>
        <v>15.643153526970954</v>
      </c>
      <c r="Q84" s="153">
        <f>IF('План продаж'!R$27=0,0,(Q73+Q58)/'План продаж'!R$27*'План продаж'!R32)</f>
        <v>18.880256821829857</v>
      </c>
      <c r="R84" s="153">
        <f>IF('План продаж'!S$27=0,0,(R73+R58)/'План продаж'!S$27*'План продаж'!S32)</f>
        <v>20.527748691099472</v>
      </c>
      <c r="S84" s="153">
        <f>IF('План продаж'!T$27=0,0,(S73+S58)/'План продаж'!T$27*'План продаж'!T32)</f>
        <v>18.880256821829853</v>
      </c>
      <c r="T84" s="153">
        <f>IF('План продаж'!U$27=0,0,(T73+T58)/'План продаж'!U$27*'План продаж'!U32)</f>
        <v>20.527748691099475</v>
      </c>
      <c r="U84" s="153">
        <f>IF('План продаж'!V$27=0,0,(U73+U58)/'План продаж'!V$27*'План продаж'!V32)</f>
        <v>16.268879668049795</v>
      </c>
      <c r="V84" s="153">
        <f>IF('План продаж'!W$27=0,0,(V73+V58)/'План продаж'!W$27*'План продаж'!W32)</f>
        <v>16.268879668049792</v>
      </c>
      <c r="W84" s="153">
        <f>IF('План продаж'!X$27=0,0,(W73+W58)/'План продаж'!X$27*'План продаж'!X32)</f>
        <v>16.268879668049792</v>
      </c>
      <c r="X84" s="153">
        <f>IF('План продаж'!Y$27=0,0,(X73+X58)/'План продаж'!Y$27*'План продаж'!Y32)</f>
        <v>16.268879668049795</v>
      </c>
      <c r="Y84" s="153">
        <f>IF('План продаж'!Z$27=0,0,(Y73+Y58)/'План продаж'!Z$27*'План продаж'!Z32)</f>
        <v>16.268879668049792</v>
      </c>
      <c r="Z84" s="153">
        <f>IF('План продаж'!AA$27=0,0,(Z73+Z58)/'План продаж'!AA$27*'План продаж'!AA32)</f>
        <v>18.88025682182986</v>
      </c>
      <c r="AA84" s="153">
        <f>IF('План продаж'!AB$27=0,0,(AA73+AA58)/'План продаж'!AB$27*'План продаж'!AB32)</f>
        <v>20.527748691099479</v>
      </c>
      <c r="AB84" s="153">
        <f>IF('План продаж'!AC$27=0,0,(AB73+AB58)/'План продаж'!AC$27*'План продаж'!AC32)</f>
        <v>16.268879668049792</v>
      </c>
      <c r="AC84" s="153">
        <f>IF('План продаж'!AD$27=0,0,(AC73+AC58)/'План продаж'!AD$27*'План продаж'!AD32)</f>
        <v>19.635467094703053</v>
      </c>
      <c r="AD84" s="153">
        <f>IF('План продаж'!AE$27=0,0,(AD73+AD58)/'План продаж'!AE$27*'План продаж'!AE32)</f>
        <v>21.348858638743458</v>
      </c>
      <c r="AE84" s="153">
        <f>IF('План продаж'!AF$27=0,0,(AE73+AE58)/'План продаж'!AF$27*'План продаж'!AF32)</f>
        <v>19.635467094703053</v>
      </c>
      <c r="AF84" s="153">
        <f>IF('План продаж'!AG$27=0,0,(AF73+AF58)/'План продаж'!AG$27*'План продаж'!AG32)</f>
        <v>21.348858638743458</v>
      </c>
      <c r="AG84" s="153">
        <f>IF('План продаж'!AH$27=0,0,(AG73+AG58)/'План продаж'!AH$27*'План продаж'!AH32)</f>
        <v>16.919634854771786</v>
      </c>
      <c r="AH84" s="153">
        <f>IF('План продаж'!AI$27=0,0,(AH73+AH58)/'План продаж'!AI$27*'План продаж'!AI32)</f>
        <v>16.919634854771779</v>
      </c>
      <c r="AI84" s="153">
        <f>IF('План продаж'!AJ$27=0,0,(AI73+AI58)/'План продаж'!AJ$27*'План продаж'!AJ32)</f>
        <v>16.919634854771786</v>
      </c>
      <c r="AJ84" s="153">
        <f>IF('План продаж'!AK$27=0,0,(AJ73+AJ58)/'План продаж'!AK$27*'План продаж'!AK32)</f>
        <v>16.919634854771783</v>
      </c>
      <c r="AK84" s="153">
        <f>IF('План продаж'!AL$27=0,0,(AK73+AK58)/'План продаж'!AL$27*'План продаж'!AL32)</f>
        <v>16.919634854771786</v>
      </c>
      <c r="AL84" s="153">
        <f>IF('План продаж'!AM$27=0,0,(AL73+AL58)/'План продаж'!AM$27*'План продаж'!AM32)</f>
        <v>19.635467094703053</v>
      </c>
      <c r="AM84" s="153">
        <f>IF('План продаж'!AN$27=0,0,(AM73+AM58)/'План продаж'!AN$27*'План продаж'!AN32)</f>
        <v>21.348858638743458</v>
      </c>
      <c r="AN84" s="153">
        <f>IF('План продаж'!AO$27=0,0,(AN73+AN58)/'План продаж'!AO$27*'План продаж'!AO32)</f>
        <v>16.919634854771786</v>
      </c>
      <c r="AO84" s="153">
        <f>IF('План продаж'!AP$27=0,0,(AO73+AO58)/'План продаж'!AP$27*'План продаж'!AP32)</f>
        <v>20.420885778491176</v>
      </c>
      <c r="AP84" s="153">
        <f>IF('План продаж'!AQ$27=0,0,(AP73+AP58)/'План продаж'!AQ$27*'План продаж'!AQ32)</f>
        <v>22.202812984293192</v>
      </c>
      <c r="AQ84" s="153">
        <f>IF('План продаж'!AR$27=0,0,(AQ73+AQ58)/'План продаж'!AR$27*'План продаж'!AR32)</f>
        <v>20.420885778491176</v>
      </c>
      <c r="AR84" s="153">
        <f>IF('План продаж'!AS$27=0,0,(AR73+AR58)/'План продаж'!AS$27*'План продаж'!AS32)</f>
        <v>22.202812984293203</v>
      </c>
      <c r="AS84" s="153">
        <f>IF('План продаж'!AT$27=0,0,(AS73+AS58)/'План продаж'!AT$27*'План продаж'!AT32)</f>
        <v>17.596420248962659</v>
      </c>
      <c r="AT84" s="153">
        <f>IF('План продаж'!AU$27=0,0,(AT73+AT58)/'План продаж'!AU$27*'План продаж'!AU32)</f>
        <v>17.596420248962655</v>
      </c>
      <c r="AU84" s="153">
        <f>IF('План продаж'!AV$27=0,0,(AU73+AU58)/'План продаж'!AV$27*'План продаж'!AV32)</f>
        <v>17.596420248962659</v>
      </c>
      <c r="AV84" s="153">
        <f>IF('План продаж'!AW$27=0,0,(AV73+AV58)/'План продаж'!AW$27*'План продаж'!AW32)</f>
        <v>17.596420248962659</v>
      </c>
      <c r="AW84" s="153">
        <f>IF('План продаж'!AX$27=0,0,(AW73+AW58)/'План продаж'!AX$27*'План продаж'!AX32)</f>
        <v>17.596420248962659</v>
      </c>
      <c r="AX84" s="153">
        <f>IF('План продаж'!AY$27=0,0,(AX73+AX58)/'План продаж'!AY$27*'План продаж'!AY32)</f>
        <v>20.420885778491176</v>
      </c>
      <c r="AY84" s="153">
        <f>IF('План продаж'!AZ$27=0,0,(AY73+AY58)/'План продаж'!AZ$27*'План продаж'!AZ32)</f>
        <v>22.202812984293203</v>
      </c>
      <c r="AZ84" s="153">
        <f>IF('План продаж'!BA$27=0,0,(AZ73+AZ58)/'План продаж'!BA$27*'План продаж'!BA32)</f>
        <v>17.596420248962662</v>
      </c>
      <c r="BA84" s="153">
        <f>IF('План продаж'!BB$27=0,0,(BA73+BA58)/'План продаж'!BB$27*'План продаж'!BB32)</f>
        <v>21.23772120963082</v>
      </c>
      <c r="BB84" s="153">
        <f>IF('План продаж'!BC$27=0,0,(BB73+BB58)/'План продаж'!BC$27*'План продаж'!BC32)</f>
        <v>23.090925503664923</v>
      </c>
      <c r="BC84" s="153">
        <f>IF('План продаж'!BD$27=0,0,(BC73+BC58)/'План продаж'!BD$27*'План продаж'!BD32)</f>
        <v>21.23772120963082</v>
      </c>
      <c r="BD84" s="153">
        <f>IF('План продаж'!BE$27=0,0,(BD73+BD58)/'План продаж'!BE$27*'План продаж'!BE32)</f>
        <v>23.090925503664931</v>
      </c>
      <c r="BE84" s="153">
        <f>IF('План продаж'!BF$27=0,0,(BE73+BE58)/'План продаж'!BF$27*'План продаж'!BF32)</f>
        <v>18.300277058921168</v>
      </c>
      <c r="BF84" s="153">
        <f>IF('План продаж'!BG$27=0,0,(BF73+BF58)/'План продаж'!BG$27*'План продаж'!BG32)</f>
        <v>18.300277058921168</v>
      </c>
      <c r="BG84" s="153">
        <f>IF('План продаж'!BH$27=0,0,(BG73+BG58)/'План продаж'!BH$27*'План продаж'!BH32)</f>
        <v>18.300277058921168</v>
      </c>
      <c r="BH84" s="153">
        <f>IF('План продаж'!BI$27=0,0,(BH73+BH58)/'План продаж'!BI$27*'План продаж'!BI32)</f>
        <v>18.300277058921168</v>
      </c>
      <c r="BI84" s="153">
        <f>IF('План продаж'!BJ$27=0,0,(BI73+BI58)/'План продаж'!BJ$27*'План продаж'!BJ32)</f>
        <v>18.300277058921161</v>
      </c>
      <c r="BJ84" s="153">
        <f>IF('План продаж'!BK$27=0,0,(BJ73+BJ58)/'План продаж'!BK$27*'План продаж'!BK32)</f>
        <v>21.237721209630831</v>
      </c>
      <c r="BK84" s="153">
        <f>IF('План продаж'!BL$27=0,0,(BK73+BK58)/'План продаж'!BL$27*'План продаж'!BL32)</f>
        <v>23.090925503664931</v>
      </c>
      <c r="BL84" s="153">
        <f>IF('План продаж'!BM$27=0,0,(BL73+BL58)/'План продаж'!BM$27*'План продаж'!BM32)</f>
        <v>18.300277058921168</v>
      </c>
      <c r="BM84" s="153">
        <f>IF('План продаж'!BN$27=0,0,(BM73+BM58)/'План продаж'!BN$27*'План продаж'!BN32)</f>
        <v>22.087230058016058</v>
      </c>
      <c r="BN84" s="153">
        <f>IF('План продаж'!BO$27=0,0,(BN73+BN58)/'План продаж'!BO$27*'План продаж'!BO32)</f>
        <v>24.014562523811524</v>
      </c>
      <c r="BO84" s="153">
        <f>IF('План продаж'!BP$27=0,0,(BO73+BO58)/'План продаж'!BP$27*'План продаж'!BP32)</f>
        <v>22.087230058016058</v>
      </c>
      <c r="BP84" s="153">
        <f>IF('План продаж'!BQ$27=0,0,(BP73+BP58)/'План продаж'!BQ$27*'План продаж'!BQ32)</f>
        <v>24.014562523811527</v>
      </c>
      <c r="BQ84" s="153">
        <f>IF('План продаж'!BR$27=0,0,(BQ73+BQ58)/'План продаж'!BR$27*'План продаж'!BR32)</f>
        <v>19.032288141278023</v>
      </c>
      <c r="BR84" s="153">
        <f>IF('План продаж'!BS$27=0,0,(BR73+BR58)/'План продаж'!BS$27*'План продаж'!BS32)</f>
        <v>19.032288141278013</v>
      </c>
      <c r="BS84" s="153">
        <f>IF('План продаж'!BT$27=0,0,(BS73+BS58)/'План продаж'!BT$27*'План продаж'!BT32)</f>
        <v>19.032288141278013</v>
      </c>
      <c r="BT84" s="153">
        <f>IF('План продаж'!BU$27=0,0,(BT73+BT58)/'План продаж'!BU$27*'План продаж'!BU32)</f>
        <v>19.032288141278013</v>
      </c>
      <c r="BU84" s="153">
        <f>IF('План продаж'!BV$27=0,0,(BU73+BU58)/'План продаж'!BV$27*'План продаж'!BV32)</f>
        <v>19.032288141278016</v>
      </c>
      <c r="BV84" s="153">
        <f>IF('План продаж'!BW$27=0,0,(BV73+BV58)/'План продаж'!BW$27*'План продаж'!BW32)</f>
        <v>22.087230058016065</v>
      </c>
      <c r="BW84" s="153">
        <f>IF('План продаж'!BX$27=0,0,(BW73+BW58)/'План продаж'!BX$27*'План продаж'!BX32)</f>
        <v>24.014562523811527</v>
      </c>
      <c r="BX84" s="153">
        <f>IF('План продаж'!BY$27=0,0,(BX73+BX58)/'План продаж'!BY$27*'План продаж'!BY32)</f>
        <v>19.032288141278016</v>
      </c>
    </row>
    <row r="85" spans="1:76" x14ac:dyDescent="0.25">
      <c r="B85" s="29"/>
      <c r="C85" s="29"/>
    </row>
    <row r="86" spans="1:76" x14ac:dyDescent="0.25">
      <c r="A86" s="16" t="s">
        <v>165</v>
      </c>
    </row>
    <row r="87" spans="1:76" x14ac:dyDescent="0.25">
      <c r="A87" s="123" t="s">
        <v>619</v>
      </c>
      <c r="B87" s="368">
        <f>'План продаж'!C36</f>
        <v>2020</v>
      </c>
      <c r="C87" s="368">
        <f>'План продаж'!D36</f>
        <v>2021</v>
      </c>
      <c r="D87" s="368">
        <f>'План продаж'!E36</f>
        <v>2022</v>
      </c>
      <c r="E87" s="368">
        <f>'План продаж'!F36</f>
        <v>2023</v>
      </c>
      <c r="F87" s="368">
        <f>'План продаж'!G36</f>
        <v>2024</v>
      </c>
      <c r="G87" s="368">
        <f>'План продаж'!H36</f>
        <v>2025</v>
      </c>
      <c r="H87" s="368">
        <f>'План продаж'!I36</f>
        <v>2026</v>
      </c>
    </row>
    <row r="88" spans="1:76" x14ac:dyDescent="0.25">
      <c r="A88" s="382" t="str">
        <f>A58</f>
        <v>Управление</v>
      </c>
      <c r="B88" s="386">
        <f>SUM(B89:B92)</f>
        <v>300</v>
      </c>
      <c r="C88" s="386">
        <f t="shared" ref="C88:H88" si="82">SUM(C89:C92)</f>
        <v>2870.4</v>
      </c>
      <c r="D88" s="386">
        <f t="shared" si="82"/>
        <v>4218.24</v>
      </c>
      <c r="E88" s="386">
        <f t="shared" si="82"/>
        <v>4386.9696000000004</v>
      </c>
      <c r="F88" s="386">
        <f t="shared" si="82"/>
        <v>4562.4483840000012</v>
      </c>
      <c r="G88" s="386">
        <f t="shared" si="82"/>
        <v>4744.9463193600013</v>
      </c>
      <c r="H88" s="386">
        <f t="shared" si="82"/>
        <v>4934.7441721344012</v>
      </c>
    </row>
    <row r="89" spans="1:76" x14ac:dyDescent="0.25">
      <c r="A89" s="152" t="str">
        <f t="shared" ref="A89:A106" si="83">A59</f>
        <v>Генеральный директор</v>
      </c>
      <c r="B89" s="133">
        <f t="shared" ref="B89" si="84">SUMIF($B$55:$BX$55,B$87,$B59:$BX59)</f>
        <v>300</v>
      </c>
      <c r="C89" s="133">
        <f t="shared" ref="C89:H89" si="85">SUMIF($B$55:$BX$55,C$87,$B59:$BX59)</f>
        <v>1248</v>
      </c>
      <c r="D89" s="133">
        <f t="shared" si="85"/>
        <v>1297.92</v>
      </c>
      <c r="E89" s="133">
        <f t="shared" si="85"/>
        <v>1349.8368</v>
      </c>
      <c r="F89" s="133">
        <f t="shared" si="85"/>
        <v>1403.8302720000004</v>
      </c>
      <c r="G89" s="133">
        <f t="shared" si="85"/>
        <v>1459.9834828800006</v>
      </c>
      <c r="H89" s="133">
        <f t="shared" si="85"/>
        <v>1518.3828221952001</v>
      </c>
    </row>
    <row r="90" spans="1:76" x14ac:dyDescent="0.25">
      <c r="A90" s="152" t="str">
        <f t="shared" si="83"/>
        <v>Инженер ПТО</v>
      </c>
      <c r="B90" s="133">
        <f t="shared" ref="B90" si="86">SUMIF($B$55:$BX$55,B$87,$B60:$BX60)</f>
        <v>0</v>
      </c>
      <c r="C90" s="133">
        <f t="shared" ref="C90:H90" si="87">SUMIF($B$55:$BX$55,C$87,$B60:$BX60)</f>
        <v>509.6</v>
      </c>
      <c r="D90" s="133">
        <f t="shared" si="87"/>
        <v>908.54399999999998</v>
      </c>
      <c r="E90" s="133">
        <f t="shared" si="87"/>
        <v>944.88576000000023</v>
      </c>
      <c r="F90" s="133">
        <f t="shared" si="87"/>
        <v>982.68119040000011</v>
      </c>
      <c r="G90" s="133">
        <f t="shared" si="87"/>
        <v>1021.9884380160005</v>
      </c>
      <c r="H90" s="133">
        <f t="shared" si="87"/>
        <v>1062.8679755366404</v>
      </c>
    </row>
    <row r="91" spans="1:76" x14ac:dyDescent="0.25">
      <c r="A91" s="152" t="str">
        <f t="shared" si="83"/>
        <v>Менеджер</v>
      </c>
      <c r="B91" s="133">
        <f t="shared" ref="B91" si="88">SUMIF($B$55:$BX$55,B$87,$B61:$BX61)</f>
        <v>0</v>
      </c>
      <c r="C91" s="133">
        <f t="shared" ref="C91:H91" si="89">SUMIF($B$55:$BX$55,C$87,$B61:$BX61)</f>
        <v>1019.2</v>
      </c>
      <c r="D91" s="133">
        <f t="shared" si="89"/>
        <v>1817.088</v>
      </c>
      <c r="E91" s="133">
        <f t="shared" si="89"/>
        <v>1889.7715200000005</v>
      </c>
      <c r="F91" s="133">
        <f t="shared" si="89"/>
        <v>1965.3623808000002</v>
      </c>
      <c r="G91" s="133">
        <f t="shared" si="89"/>
        <v>2043.976876032001</v>
      </c>
      <c r="H91" s="133">
        <f t="shared" si="89"/>
        <v>2125.7359510732808</v>
      </c>
    </row>
    <row r="92" spans="1:76" x14ac:dyDescent="0.25">
      <c r="A92" s="152" t="str">
        <f t="shared" si="83"/>
        <v>Бухгалтер</v>
      </c>
      <c r="B92" s="133">
        <f t="shared" ref="B92" si="90">SUMIF($B$55:$BX$55,B$87,$B62:$BX62)</f>
        <v>0</v>
      </c>
      <c r="C92" s="133">
        <f t="shared" ref="C92:H92" si="91">SUMIF($B$55:$BX$55,C$87,$B62:$BX62)</f>
        <v>93.6</v>
      </c>
      <c r="D92" s="133">
        <f t="shared" si="91"/>
        <v>194.68799999999996</v>
      </c>
      <c r="E92" s="133">
        <f t="shared" si="91"/>
        <v>202.47552000000005</v>
      </c>
      <c r="F92" s="133">
        <f t="shared" si="91"/>
        <v>210.57454080000002</v>
      </c>
      <c r="G92" s="133">
        <f t="shared" si="91"/>
        <v>218.99752243200001</v>
      </c>
      <c r="H92" s="133">
        <f t="shared" si="91"/>
        <v>227.7574233292801</v>
      </c>
    </row>
    <row r="93" spans="1:76" x14ac:dyDescent="0.25">
      <c r="A93" s="382" t="str">
        <f t="shared" si="83"/>
        <v>Служба размещения</v>
      </c>
      <c r="B93" s="386">
        <f>SUM(B94:B97)</f>
        <v>0</v>
      </c>
      <c r="C93" s="386">
        <f t="shared" ref="C93:H93" si="92">SUM(C94:C97)</f>
        <v>1466.4</v>
      </c>
      <c r="D93" s="386">
        <f t="shared" si="92"/>
        <v>3050.1120000000001</v>
      </c>
      <c r="E93" s="386">
        <f t="shared" si="92"/>
        <v>3172.1164800000001</v>
      </c>
      <c r="F93" s="386">
        <f t="shared" si="92"/>
        <v>3299.0011392000006</v>
      </c>
      <c r="G93" s="386">
        <f t="shared" si="92"/>
        <v>3430.9611847680007</v>
      </c>
      <c r="H93" s="386">
        <f t="shared" si="92"/>
        <v>3568.1996321587203</v>
      </c>
    </row>
    <row r="94" spans="1:76" x14ac:dyDescent="0.25">
      <c r="A94" s="152" t="str">
        <f t="shared" si="83"/>
        <v xml:space="preserve">Администратор </v>
      </c>
      <c r="B94" s="133">
        <f t="shared" ref="B94" si="93">SUMIF($B$55:$BX$55,B$87,$B64:$BX64)</f>
        <v>0</v>
      </c>
      <c r="C94" s="133">
        <f t="shared" ref="C94:H94" si="94">SUMIF($B$55:$BX$55,C$87,$B64:$BX64)</f>
        <v>624</v>
      </c>
      <c r="D94" s="133">
        <f t="shared" si="94"/>
        <v>1297.92</v>
      </c>
      <c r="E94" s="133">
        <f t="shared" si="94"/>
        <v>1349.8368</v>
      </c>
      <c r="F94" s="133">
        <f t="shared" si="94"/>
        <v>1403.8302720000004</v>
      </c>
      <c r="G94" s="133">
        <f t="shared" si="94"/>
        <v>1459.9834828800006</v>
      </c>
      <c r="H94" s="133">
        <f t="shared" si="94"/>
        <v>1518.3828221952001</v>
      </c>
    </row>
    <row r="95" spans="1:76" x14ac:dyDescent="0.25">
      <c r="A95" s="152" t="str">
        <f t="shared" si="83"/>
        <v>Старшая горничная</v>
      </c>
      <c r="B95" s="133">
        <f t="shared" ref="B95" si="95">SUMIF($B$55:$BX$55,B$87,$B65:$BX65)</f>
        <v>0</v>
      </c>
      <c r="C95" s="133">
        <f t="shared" ref="C95:H95" si="96">SUMIF($B$55:$BX$55,C$87,$B65:$BX65)</f>
        <v>156</v>
      </c>
      <c r="D95" s="133">
        <f t="shared" si="96"/>
        <v>324.48</v>
      </c>
      <c r="E95" s="133">
        <f t="shared" si="96"/>
        <v>337.45920000000001</v>
      </c>
      <c r="F95" s="133">
        <f t="shared" si="96"/>
        <v>350.95756800000009</v>
      </c>
      <c r="G95" s="133">
        <f t="shared" si="96"/>
        <v>364.99587072000014</v>
      </c>
      <c r="H95" s="133">
        <f t="shared" si="96"/>
        <v>379.59570554880003</v>
      </c>
    </row>
    <row r="96" spans="1:76" x14ac:dyDescent="0.25">
      <c r="A96" s="152" t="str">
        <f t="shared" si="83"/>
        <v>Горничная</v>
      </c>
      <c r="B96" s="133">
        <f t="shared" ref="B96" si="97">SUMIF($B$55:$BX$55,B$87,$B66:$BX66)</f>
        <v>0</v>
      </c>
      <c r="C96" s="133">
        <f t="shared" ref="C96:H96" si="98">SUMIF($B$55:$BX$55,C$87,$B66:$BX66)</f>
        <v>374.4</v>
      </c>
      <c r="D96" s="133">
        <f t="shared" si="98"/>
        <v>778.75199999999984</v>
      </c>
      <c r="E96" s="133">
        <f t="shared" si="98"/>
        <v>809.90208000000018</v>
      </c>
      <c r="F96" s="133">
        <f t="shared" si="98"/>
        <v>842.29816320000009</v>
      </c>
      <c r="G96" s="133">
        <f t="shared" si="98"/>
        <v>875.99008972800004</v>
      </c>
      <c r="H96" s="133">
        <f t="shared" si="98"/>
        <v>911.0296933171204</v>
      </c>
    </row>
    <row r="97" spans="1:8" x14ac:dyDescent="0.25">
      <c r="A97" s="152" t="str">
        <f t="shared" si="83"/>
        <v>Хаус-менеджер</v>
      </c>
      <c r="B97" s="133">
        <f t="shared" ref="B97" si="99">SUMIF($B$55:$BX$55,B$87,$B67:$BX67)</f>
        <v>0</v>
      </c>
      <c r="C97" s="133">
        <f t="shared" ref="C97:H97" si="100">SUMIF($B$55:$BX$55,C$87,$B67:$BX67)</f>
        <v>312</v>
      </c>
      <c r="D97" s="133">
        <f t="shared" si="100"/>
        <v>648.96</v>
      </c>
      <c r="E97" s="133">
        <f t="shared" si="100"/>
        <v>674.91840000000002</v>
      </c>
      <c r="F97" s="133">
        <f t="shared" si="100"/>
        <v>701.91513600000019</v>
      </c>
      <c r="G97" s="133">
        <f t="shared" si="100"/>
        <v>729.99174144000028</v>
      </c>
      <c r="H97" s="133">
        <f t="shared" si="100"/>
        <v>759.19141109760005</v>
      </c>
    </row>
    <row r="98" spans="1:8" x14ac:dyDescent="0.25">
      <c r="A98" s="382" t="str">
        <f t="shared" si="83"/>
        <v>Ресторан</v>
      </c>
      <c r="B98" s="386">
        <f>SUM(B99:B102)</f>
        <v>0</v>
      </c>
      <c r="C98" s="386">
        <f t="shared" ref="C98:H98" si="101">SUM(C99:C102)</f>
        <v>1315.6</v>
      </c>
      <c r="D98" s="386">
        <f t="shared" si="101"/>
        <v>3179.9040000000005</v>
      </c>
      <c r="E98" s="386">
        <f t="shared" si="101"/>
        <v>3307.1001600000004</v>
      </c>
      <c r="F98" s="386">
        <f t="shared" si="101"/>
        <v>3439.3841664000001</v>
      </c>
      <c r="G98" s="386">
        <f t="shared" si="101"/>
        <v>3576.9595330560005</v>
      </c>
      <c r="H98" s="386">
        <f t="shared" si="101"/>
        <v>3720.0379143782411</v>
      </c>
    </row>
    <row r="99" spans="1:8" x14ac:dyDescent="0.25">
      <c r="A99" s="152" t="str">
        <f t="shared" si="83"/>
        <v>Шеф-повар</v>
      </c>
      <c r="B99" s="133">
        <f t="shared" ref="B99" si="102">SUMIF($B$55:$BX$55,B$87,$B69:$BX69)</f>
        <v>0</v>
      </c>
      <c r="C99" s="133">
        <f t="shared" ref="C99:H99" si="103">SUMIF($B$55:$BX$55,C$87,$B69:$BX69)</f>
        <v>249.6</v>
      </c>
      <c r="D99" s="133">
        <f t="shared" si="103"/>
        <v>519.16800000000001</v>
      </c>
      <c r="E99" s="133">
        <f t="shared" si="103"/>
        <v>539.93471999999997</v>
      </c>
      <c r="F99" s="133">
        <f t="shared" si="103"/>
        <v>561.53210880000006</v>
      </c>
      <c r="G99" s="133">
        <f t="shared" si="103"/>
        <v>583.99339315200007</v>
      </c>
      <c r="H99" s="133">
        <f t="shared" si="103"/>
        <v>607.35312887808027</v>
      </c>
    </row>
    <row r="100" spans="1:8" x14ac:dyDescent="0.25">
      <c r="A100" s="152" t="str">
        <f t="shared" si="83"/>
        <v>Повар</v>
      </c>
      <c r="B100" s="133">
        <f t="shared" ref="B100" si="104">SUMIF($B$55:$BX$55,B$87,$B70:$BX70)</f>
        <v>0</v>
      </c>
      <c r="C100" s="133">
        <f t="shared" ref="C100:H100" si="105">SUMIF($B$55:$BX$55,C$87,$B70:$BX70)</f>
        <v>390</v>
      </c>
      <c r="D100" s="133">
        <f t="shared" si="105"/>
        <v>973.44</v>
      </c>
      <c r="E100" s="133">
        <f t="shared" si="105"/>
        <v>1012.3776000000003</v>
      </c>
      <c r="F100" s="133">
        <f t="shared" si="105"/>
        <v>1052.8727039999999</v>
      </c>
      <c r="G100" s="133">
        <f t="shared" si="105"/>
        <v>1094.9876121600005</v>
      </c>
      <c r="H100" s="133">
        <f t="shared" si="105"/>
        <v>1138.7871166464004</v>
      </c>
    </row>
    <row r="101" spans="1:8" x14ac:dyDescent="0.25">
      <c r="A101" s="152" t="str">
        <f t="shared" si="83"/>
        <v>Администратор ресторана</v>
      </c>
      <c r="B101" s="133">
        <f t="shared" ref="B101" si="106">SUMIF($B$55:$BX$55,B$87,$B71:$BX71)</f>
        <v>0</v>
      </c>
      <c r="C101" s="133">
        <f t="shared" ref="C101:H101" si="107">SUMIF($B$55:$BX$55,C$87,$B71:$BX71)</f>
        <v>260</v>
      </c>
      <c r="D101" s="133">
        <f t="shared" si="107"/>
        <v>648.96</v>
      </c>
      <c r="E101" s="133">
        <f t="shared" si="107"/>
        <v>674.91840000000002</v>
      </c>
      <c r="F101" s="133">
        <f t="shared" si="107"/>
        <v>701.91513600000019</v>
      </c>
      <c r="G101" s="133">
        <f t="shared" si="107"/>
        <v>729.99174144000028</v>
      </c>
      <c r="H101" s="133">
        <f t="shared" si="107"/>
        <v>759.19141109760005</v>
      </c>
    </row>
    <row r="102" spans="1:8" x14ac:dyDescent="0.25">
      <c r="A102" s="152" t="str">
        <f t="shared" si="83"/>
        <v>Официант/бариста</v>
      </c>
      <c r="B102" s="133">
        <f t="shared" ref="B102" si="108">SUMIF($B$55:$BX$55,B$87,$B72:$BX72)</f>
        <v>0</v>
      </c>
      <c r="C102" s="133">
        <f t="shared" ref="C102:H102" si="109">SUMIF($B$55:$BX$55,C$87,$B72:$BX72)</f>
        <v>416</v>
      </c>
      <c r="D102" s="133">
        <f t="shared" si="109"/>
        <v>1038.336</v>
      </c>
      <c r="E102" s="133">
        <f t="shared" si="109"/>
        <v>1079.8694399999999</v>
      </c>
      <c r="F102" s="133">
        <f t="shared" si="109"/>
        <v>1123.0642176000001</v>
      </c>
      <c r="G102" s="133">
        <f t="shared" si="109"/>
        <v>1167.9867863040001</v>
      </c>
      <c r="H102" s="133">
        <f t="shared" si="109"/>
        <v>1214.7062577561605</v>
      </c>
    </row>
    <row r="103" spans="1:8" x14ac:dyDescent="0.25">
      <c r="A103" s="382" t="str">
        <f t="shared" si="83"/>
        <v>Хоз. служба</v>
      </c>
      <c r="B103" s="386">
        <f>SUM(B104:B106)</f>
        <v>0</v>
      </c>
      <c r="C103" s="386">
        <f t="shared" ref="C103:H103" si="110">SUM(C104:C106)</f>
        <v>572</v>
      </c>
      <c r="D103" s="386">
        <f t="shared" si="110"/>
        <v>1427.712</v>
      </c>
      <c r="E103" s="386">
        <f t="shared" si="110"/>
        <v>1484.8204800000003</v>
      </c>
      <c r="F103" s="386">
        <f t="shared" si="110"/>
        <v>1544.2132992000002</v>
      </c>
      <c r="G103" s="386">
        <f t="shared" si="110"/>
        <v>1605.9818311680003</v>
      </c>
      <c r="H103" s="386">
        <f t="shared" si="110"/>
        <v>1670.2211044147205</v>
      </c>
    </row>
    <row r="104" spans="1:8" x14ac:dyDescent="0.25">
      <c r="A104" s="152" t="str">
        <f t="shared" si="83"/>
        <v>Администратор доп. услуг</v>
      </c>
      <c r="B104" s="133">
        <f t="shared" ref="B104" si="111">SUMIF($B$55:$BX$55,B$87,$B74:$BX74)</f>
        <v>0</v>
      </c>
      <c r="C104" s="133">
        <f t="shared" ref="C104:H104" si="112">SUMIF($B$55:$BX$55,C$87,$B74:$BX74)</f>
        <v>260</v>
      </c>
      <c r="D104" s="133">
        <f t="shared" si="112"/>
        <v>648.96</v>
      </c>
      <c r="E104" s="133">
        <f t="shared" si="112"/>
        <v>674.91840000000002</v>
      </c>
      <c r="F104" s="133">
        <f t="shared" si="112"/>
        <v>701.91513600000019</v>
      </c>
      <c r="G104" s="133">
        <f t="shared" si="112"/>
        <v>729.99174144000028</v>
      </c>
      <c r="H104" s="133">
        <f t="shared" si="112"/>
        <v>759.19141109760005</v>
      </c>
    </row>
    <row r="105" spans="1:8" x14ac:dyDescent="0.25">
      <c r="A105" s="152" t="str">
        <f t="shared" si="83"/>
        <v>Подсобный рабочий</v>
      </c>
      <c r="B105" s="133">
        <f t="shared" ref="B105" si="113">SUMIF($B$55:$BX$55,B$87,$B75:$BX75)</f>
        <v>0</v>
      </c>
      <c r="C105" s="133">
        <f t="shared" ref="C105:H105" si="114">SUMIF($B$55:$BX$55,C$87,$B75:$BX75)</f>
        <v>156</v>
      </c>
      <c r="D105" s="133">
        <f t="shared" si="114"/>
        <v>389.37599999999992</v>
      </c>
      <c r="E105" s="133">
        <f t="shared" si="114"/>
        <v>404.95104000000009</v>
      </c>
      <c r="F105" s="133">
        <f t="shared" si="114"/>
        <v>421.14908160000005</v>
      </c>
      <c r="G105" s="133">
        <f t="shared" si="114"/>
        <v>437.99504486400002</v>
      </c>
      <c r="H105" s="133">
        <f t="shared" si="114"/>
        <v>455.5148466585602</v>
      </c>
    </row>
    <row r="106" spans="1:8" x14ac:dyDescent="0.25">
      <c r="A106" s="152" t="str">
        <f t="shared" si="83"/>
        <v>Уборщик территории</v>
      </c>
      <c r="B106" s="133">
        <f t="shared" ref="B106" si="115">SUMIF($B$55:$BX$55,B$87,$B76:$BX76)</f>
        <v>0</v>
      </c>
      <c r="C106" s="133">
        <f t="shared" ref="C106:H106" si="116">SUMIF($B$55:$BX$55,C$87,$B76:$BX76)</f>
        <v>156</v>
      </c>
      <c r="D106" s="133">
        <f t="shared" si="116"/>
        <v>389.37599999999992</v>
      </c>
      <c r="E106" s="133">
        <f t="shared" si="116"/>
        <v>404.95104000000009</v>
      </c>
      <c r="F106" s="133">
        <f t="shared" si="116"/>
        <v>421.14908160000005</v>
      </c>
      <c r="G106" s="133">
        <f t="shared" si="116"/>
        <v>437.99504486400002</v>
      </c>
      <c r="H106" s="133">
        <f t="shared" si="116"/>
        <v>455.5148466585602</v>
      </c>
    </row>
    <row r="107" spans="1:8" x14ac:dyDescent="0.25">
      <c r="A107" s="110" t="s">
        <v>115</v>
      </c>
      <c r="B107" s="111">
        <f>B103+B98+B93+B88</f>
        <v>300</v>
      </c>
      <c r="C107" s="111">
        <f t="shared" ref="C107:H107" si="117">C103+C98+C93+C88</f>
        <v>6224.4</v>
      </c>
      <c r="D107" s="111">
        <f t="shared" si="117"/>
        <v>11875.968000000001</v>
      </c>
      <c r="E107" s="111">
        <f t="shared" si="117"/>
        <v>12351.006720000001</v>
      </c>
      <c r="F107" s="111">
        <f t="shared" si="117"/>
        <v>12845.046988800003</v>
      </c>
      <c r="G107" s="111">
        <f t="shared" si="117"/>
        <v>13358.848868352005</v>
      </c>
      <c r="H107" s="111">
        <f t="shared" si="117"/>
        <v>13893.202823086081</v>
      </c>
    </row>
    <row r="108" spans="1:8" x14ac:dyDescent="0.25">
      <c r="A108" s="154" t="s">
        <v>582</v>
      </c>
      <c r="B108" s="134">
        <f>B107/AVERAGEIF($B$31:$BX$31,B$87,$B52:$BX52)/3</f>
        <v>100</v>
      </c>
      <c r="C108" s="134">
        <f>C107/AVERAGEIF($B$31:$BX$31,C$87,$B52:$BX52)/12</f>
        <v>33.464516129032255</v>
      </c>
      <c r="D108" s="134">
        <f t="shared" ref="D108:H108" si="118">D107/AVERAGEIF($B$31:$BX$31,D$87,$B52:$BX52)/12</f>
        <v>30.927000000000003</v>
      </c>
      <c r="E108" s="134">
        <f t="shared" si="118"/>
        <v>32.164080000000006</v>
      </c>
      <c r="F108" s="134">
        <f t="shared" si="118"/>
        <v>33.450643200000009</v>
      </c>
      <c r="G108" s="134">
        <f t="shared" si="118"/>
        <v>34.788668928000014</v>
      </c>
      <c r="H108" s="134">
        <f t="shared" si="118"/>
        <v>36.180215685120004</v>
      </c>
    </row>
    <row r="109" spans="1:8" x14ac:dyDescent="0.25">
      <c r="A109" s="264" t="s">
        <v>371</v>
      </c>
      <c r="B109" s="265">
        <f>SUM(B110:B114)</f>
        <v>0</v>
      </c>
      <c r="C109" s="265">
        <f t="shared" ref="C109:H109" si="119">SUM(C110:C114)</f>
        <v>5382.0000000000009</v>
      </c>
      <c r="D109" s="265">
        <f t="shared" si="119"/>
        <v>11875.968000000003</v>
      </c>
      <c r="E109" s="265">
        <f t="shared" si="119"/>
        <v>12351.006720000003</v>
      </c>
      <c r="F109" s="265">
        <f t="shared" si="119"/>
        <v>12845.046988800001</v>
      </c>
      <c r="G109" s="265">
        <f t="shared" si="119"/>
        <v>13358.848868352005</v>
      </c>
      <c r="H109" s="265">
        <f t="shared" si="119"/>
        <v>13893.202823086081</v>
      </c>
    </row>
    <row r="110" spans="1:8" x14ac:dyDescent="0.25">
      <c r="A110" s="152" t="str">
        <f>A80</f>
        <v>Проживание</v>
      </c>
      <c r="B110" s="133">
        <f t="shared" ref="B110:H110" si="120">SUMIF($B$55:$BX$55,B$87,$B80:$BX80)</f>
        <v>0</v>
      </c>
      <c r="C110" s="133">
        <f>SUMIF($B$55:$BX$55,C$87,$B80:$BX80)</f>
        <v>3205.5380508115713</v>
      </c>
      <c r="D110" s="133">
        <f t="shared" si="120"/>
        <v>6770.7953326399875</v>
      </c>
      <c r="E110" s="133">
        <f t="shared" si="120"/>
        <v>7041.6271459455884</v>
      </c>
      <c r="F110" s="133">
        <f t="shared" si="120"/>
        <v>7323.2922317834091</v>
      </c>
      <c r="G110" s="133">
        <f t="shared" si="120"/>
        <v>7616.2239210547486</v>
      </c>
      <c r="H110" s="133">
        <f t="shared" si="120"/>
        <v>7920.8728778969371</v>
      </c>
    </row>
    <row r="111" spans="1:8" x14ac:dyDescent="0.25">
      <c r="A111" s="152" t="str">
        <f>A81</f>
        <v>Питание</v>
      </c>
      <c r="B111" s="133">
        <f t="shared" ref="B111:H111" si="121">SUMIF($B$55:$BX$55,B$87,$B81:$BX81)</f>
        <v>0</v>
      </c>
      <c r="C111" s="133">
        <f t="shared" si="121"/>
        <v>1856.0514479209867</v>
      </c>
      <c r="D111" s="133">
        <f t="shared" si="121"/>
        <v>4388.5928494636864</v>
      </c>
      <c r="E111" s="133">
        <f t="shared" si="121"/>
        <v>4564.1365634422327</v>
      </c>
      <c r="F111" s="133">
        <f t="shared" si="121"/>
        <v>4746.7020259799228</v>
      </c>
      <c r="G111" s="133">
        <f t="shared" si="121"/>
        <v>4936.5701070191208</v>
      </c>
      <c r="H111" s="133">
        <f t="shared" si="121"/>
        <v>5134.0329112998852</v>
      </c>
    </row>
    <row r="112" spans="1:8" x14ac:dyDescent="0.25">
      <c r="A112" s="152" t="str">
        <f>A82</f>
        <v>Банный комплекс</v>
      </c>
      <c r="B112" s="133">
        <f t="shared" ref="B112:H112" si="122">SUMIF($B$55:$BX$55,B$87,$B82:$BX82)</f>
        <v>0</v>
      </c>
      <c r="C112" s="133">
        <f t="shared" si="122"/>
        <v>193.0183742574952</v>
      </c>
      <c r="D112" s="133">
        <f t="shared" si="122"/>
        <v>431.67458909417348</v>
      </c>
      <c r="E112" s="133">
        <f t="shared" si="122"/>
        <v>448.94157265794047</v>
      </c>
      <c r="F112" s="133">
        <f t="shared" si="122"/>
        <v>466.89923556425811</v>
      </c>
      <c r="G112" s="133">
        <f t="shared" si="122"/>
        <v>485.57520498682851</v>
      </c>
      <c r="H112" s="133">
        <f t="shared" si="122"/>
        <v>504.99821318630165</v>
      </c>
    </row>
    <row r="113" spans="1:8" x14ac:dyDescent="0.25">
      <c r="A113" s="152" t="str">
        <f>A83</f>
        <v>Прокат спортивного инвентаря</v>
      </c>
      <c r="B113" s="133">
        <f t="shared" ref="B113:H113" si="123">SUMIF($B$55:$BX$55,B$87,$B83:$BX83)</f>
        <v>0</v>
      </c>
      <c r="C113" s="133">
        <f t="shared" si="123"/>
        <v>30.882939881199238</v>
      </c>
      <c r="D113" s="133">
        <f t="shared" si="123"/>
        <v>69.067934255067769</v>
      </c>
      <c r="E113" s="133">
        <f t="shared" si="123"/>
        <v>71.830651625270477</v>
      </c>
      <c r="F113" s="133">
        <f t="shared" si="123"/>
        <v>74.703877690281303</v>
      </c>
      <c r="G113" s="133">
        <f t="shared" si="123"/>
        <v>77.692032797892566</v>
      </c>
      <c r="H113" s="133">
        <f t="shared" si="123"/>
        <v>80.799714109808278</v>
      </c>
    </row>
    <row r="114" spans="1:8" x14ac:dyDescent="0.25">
      <c r="A114" s="152" t="str">
        <f>A84</f>
        <v>Барбекю-парк</v>
      </c>
      <c r="B114" s="133">
        <f t="shared" ref="B114:H114" si="124">SUMIF($B$55:$BX$55,B$87,$B84:$BX84)</f>
        <v>0</v>
      </c>
      <c r="C114" s="133">
        <f t="shared" si="124"/>
        <v>96.509187128747612</v>
      </c>
      <c r="D114" s="133">
        <f t="shared" si="124"/>
        <v>215.83729454708674</v>
      </c>
      <c r="E114" s="133">
        <f t="shared" si="124"/>
        <v>224.47078632897023</v>
      </c>
      <c r="F114" s="133">
        <f t="shared" si="124"/>
        <v>233.44961778212905</v>
      </c>
      <c r="G114" s="133">
        <f t="shared" si="124"/>
        <v>242.78760249341423</v>
      </c>
      <c r="H114" s="133">
        <f t="shared" si="124"/>
        <v>252.49910659315083</v>
      </c>
    </row>
    <row r="129" spans="3:3" x14ac:dyDescent="0.25">
      <c r="C129" s="73"/>
    </row>
  </sheetData>
  <mergeCells count="2">
    <mergeCell ref="A31:A32"/>
    <mergeCell ref="A55:A56"/>
  </mergeCells>
  <phoneticPr fontId="6" type="noConversion"/>
  <pageMargins left="0.7" right="0.7" top="0.75" bottom="0.75" header="0.3" footer="0.3"/>
  <pageSetup paperSize="9" orientation="portrait" horizontalDpi="4294967293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Содержание</vt:lpstr>
      <vt:lpstr>Лист4</vt:lpstr>
      <vt:lpstr>Лист2</vt:lpstr>
      <vt:lpstr>Книга допущений</vt:lpstr>
      <vt:lpstr>Календарный план</vt:lpstr>
      <vt:lpstr>Вложения</vt:lpstr>
      <vt:lpstr>Займы</vt:lpstr>
      <vt:lpstr>План продаж</vt:lpstr>
      <vt:lpstr>ФОТ</vt:lpstr>
      <vt:lpstr>Расходы</vt:lpstr>
      <vt:lpstr>Налоги</vt:lpstr>
      <vt:lpstr>ОФР</vt:lpstr>
      <vt:lpstr>ОДДС</vt:lpstr>
      <vt:lpstr>Фин.показатели</vt:lpstr>
      <vt:lpstr>Риски</vt:lpstr>
      <vt:lpstr>Модуль_Оснащение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Бельбаум Яна</dc:creator>
  <cp:lastModifiedBy>Борис</cp:lastModifiedBy>
  <cp:revision>1</cp:revision>
  <dcterms:created xsi:type="dcterms:W3CDTF">2015-07-28T13:42:28Z</dcterms:created>
  <dcterms:modified xsi:type="dcterms:W3CDTF">2021-03-22T15:42:08Z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1049-10.1.0.5671</vt:lpwstr>
  </property>
</Properties>
</file>